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0" yWindow="65516" windowWidth="17060" windowHeight="10920" tabRatio="770" activeTab="2"/>
  </bookViews>
  <sheets>
    <sheet name="ISTRUZIONI" sheetId="1" r:id="rId1"/>
    <sheet name="PARCELLAenti" sheetId="2" r:id="rId2"/>
    <sheet name="PARCELLA" sheetId="3" r:id="rId3"/>
    <sheet name="Strutture&amp;impianti" sheetId="4" r:id="rId4"/>
    <sheet name="Appalti Distinti" sheetId="5" r:id="rId5"/>
    <sheet name="Arredo" sheetId="6" r:id="rId6"/>
    <sheet name="PianiP" sheetId="7" r:id="rId7"/>
    <sheet name="TA" sheetId="8" r:id="rId8"/>
    <sheet name="TAO" sheetId="9" r:id="rId9"/>
  </sheets>
  <definedNames>
    <definedName name="_xlnm.Print_Area" localSheetId="4">'Appalti Distinti'!$A:$G</definedName>
    <definedName name="_xlnm.Print_Area" localSheetId="5">'Arredo'!$A:$G</definedName>
    <definedName name="_xlnm.Print_Area" localSheetId="2">'PARCELLA'!$A:$H</definedName>
    <definedName name="_xlnm.Print_Area" localSheetId="1">'PARCELLAenti'!$A:$H</definedName>
    <definedName name="_xlnm.Print_Area" localSheetId="6">'PianiP'!$A$1:$E$46</definedName>
    <definedName name="_xlnm.Print_Area" localSheetId="3">'Strutture&amp;impianti'!$A:$G</definedName>
    <definedName name="_xlnm.Print_Area" localSheetId="7">'TA'!$A$1:$AC$149</definedName>
    <definedName name="_xlnm.Print_Area" localSheetId="8">'TAO'!$A$1:$AC$149</definedName>
    <definedName name="_xlnm.Print_Titles" localSheetId="7">'TA'!$A:$A,'TA'!$1:$3</definedName>
    <definedName name="_xlnm.Print_Titles" localSheetId="8">'TAO'!$A:$A,'TAO'!$1:$3</definedName>
  </definedNames>
  <calcPr fullCalcOnLoad="1"/>
</workbook>
</file>

<file path=xl/comments2.xml><?xml version="1.0" encoding="utf-8"?>
<comments xmlns="http://schemas.openxmlformats.org/spreadsheetml/2006/main">
  <authors>
    <author>Soliani Angelo</author>
    <author>C.O. ARCHITETTI DI PIACENZA</author>
    <author>Angelo Soliani</author>
    <author>Terzaghi</author>
    <author>Mario Curtoni</author>
    <author>Soliani</author>
  </authors>
  <commentList>
    <comment ref="B47" authorId="0">
      <text>
        <r>
          <rPr>
            <sz val="8"/>
            <rFont val="Tahoma"/>
            <family val="0"/>
          </rPr>
          <t>+10% Per aggiunte ed ampliamenti
+20% Per riparazioni e trasformazioni  +40% Per ordinaria manutenzione</t>
        </r>
      </text>
    </comment>
    <comment ref="B57" authorId="0">
      <text>
        <r>
          <rPr>
            <sz val="8"/>
            <rFont val="Tahoma"/>
            <family val="0"/>
          </rPr>
          <t>Se non è COLLAUDO ma certificato di regolare esecuzione &gt;&gt;&gt; si applica uno sconto del 20%
Se collaudo in corso d'opera si maggiora dal 15% al 30%                 Se riguarda opere di manutenzione si maggiora del 50%
Se COLLAUDO STATICO lo 0,20 di aliquota "c" di tab.B</t>
        </r>
      </text>
    </comment>
    <comment ref="F54" authorId="1">
      <text>
        <r>
          <rPr>
            <b/>
            <sz val="8"/>
            <rFont val="Tahoma"/>
            <family val="2"/>
          </rPr>
          <t>L.110.000 x architetto
L. 73.500  x aiuto laureato iscritto
L.  55.000 per ogni altro aiuto
dal 4/12/1997</t>
        </r>
      </text>
    </comment>
    <comment ref="B12" authorId="2">
      <text>
        <r>
          <rPr>
            <sz val="8"/>
            <rFont val="Tahoma"/>
            <family val="0"/>
          </rPr>
          <t xml:space="preserve">Scegliere la categoria di lavori cliccando sulla casella
</t>
        </r>
      </text>
    </comment>
    <comment ref="H50" authorId="2">
      <text>
        <r>
          <rPr>
            <b/>
            <sz val="8"/>
            <rFont val="Tahoma"/>
            <family val="2"/>
          </rPr>
          <t>Va calcolato a percentuale ma deve essere esposto a discrezione</t>
        </r>
        <r>
          <rPr>
            <sz val="8"/>
            <rFont val="Tahoma"/>
            <family val="0"/>
          </rPr>
          <t xml:space="preserve">
</t>
        </r>
      </text>
    </comment>
    <comment ref="H53" authorId="2">
      <text>
        <r>
          <rPr>
            <b/>
            <sz val="8"/>
            <rFont val="Tahoma"/>
            <family val="2"/>
          </rPr>
          <t>Va calcolato a percentuale ma deve essere esposto a discrezione</t>
        </r>
        <r>
          <rPr>
            <sz val="8"/>
            <rFont val="Tahoma"/>
            <family val="0"/>
          </rPr>
          <t xml:space="preserve">
</t>
        </r>
      </text>
    </comment>
    <comment ref="H54" authorId="2">
      <text>
        <r>
          <rPr>
            <b/>
            <sz val="8"/>
            <rFont val="Tahoma"/>
            <family val="2"/>
          </rPr>
          <t>sono già comprensivi di spese - così come le ore a vacazione</t>
        </r>
      </text>
    </comment>
    <comment ref="H55" authorId="2">
      <text>
        <r>
          <rPr>
            <b/>
            <sz val="8"/>
            <rFont val="Tahoma"/>
            <family val="2"/>
          </rPr>
          <t>Così come calcolato deve essere applicato solo alla tabella B 
E può essere applicato lo sconto solo agli enti pubblici</t>
        </r>
        <r>
          <rPr>
            <sz val="8"/>
            <rFont val="Tahoma"/>
            <family val="0"/>
          </rPr>
          <t xml:space="preserve">
</t>
        </r>
      </text>
    </comment>
    <comment ref="A28" authorId="2">
      <text>
        <r>
          <rPr>
            <b/>
            <sz val="8"/>
            <rFont val="Tahoma"/>
            <family val="2"/>
          </rPr>
          <t>Si applica all'importo di un progetto stralciato da un altro progetto già realizzato e pagato</t>
        </r>
        <r>
          <rPr>
            <sz val="8"/>
            <rFont val="Tahoma"/>
            <family val="0"/>
          </rPr>
          <t xml:space="preserve">
</t>
        </r>
      </text>
    </comment>
    <comment ref="A30" authorId="2">
      <text>
        <r>
          <rPr>
            <b/>
            <sz val="8"/>
            <rFont val="Tahoma"/>
            <family val="2"/>
          </rPr>
          <t>Da un progetto di massima realizzato si possono realizzare le opere in più lotti
La maggiorazione si applica all'importo di ogni lotto
La percentuale (da Tab. A) viene calcolata sui singoli lotti se affidati con incarichi separati; sulla somma dei lotti se l'incarico è unico!</t>
        </r>
      </text>
    </comment>
    <comment ref="A32" authorId="2">
      <text>
        <r>
          <rPr>
            <b/>
            <sz val="8"/>
            <rFont val="Tahoma"/>
            <family val="2"/>
          </rPr>
          <t>Si applica alla DDLL di ogni lotto</t>
        </r>
        <r>
          <rPr>
            <sz val="8"/>
            <rFont val="Tahoma"/>
            <family val="0"/>
          </rPr>
          <t xml:space="preserve">
</t>
        </r>
      </text>
    </comment>
    <comment ref="B51" authorId="2">
      <text>
        <r>
          <rPr>
            <b/>
            <sz val="8"/>
            <rFont val="Tahoma"/>
            <family val="2"/>
          </rPr>
          <t xml:space="preserve">inserire il valore </t>
        </r>
        <r>
          <rPr>
            <sz val="8"/>
            <rFont val="Tahoma"/>
            <family val="0"/>
          </rPr>
          <t xml:space="preserve">
</t>
        </r>
      </text>
    </comment>
    <comment ref="G46" authorId="2">
      <text>
        <r>
          <rPr>
            <b/>
            <sz val="8"/>
            <rFont val="Tahoma"/>
            <family val="2"/>
          </rPr>
          <t>Cliccare su RICALCOLA per aggiornare la percentuale in riferimento al costo dell'opera</t>
        </r>
        <r>
          <rPr>
            <sz val="8"/>
            <rFont val="Tahoma"/>
            <family val="0"/>
          </rPr>
          <t xml:space="preserve">
</t>
        </r>
      </text>
    </comment>
    <comment ref="B56" authorId="3">
      <text>
        <r>
          <rPr>
            <b/>
            <sz val="8"/>
            <rFont val="Tahoma"/>
            <family val="2"/>
          </rPr>
          <t>premi ricalcola per aggiornare il valore</t>
        </r>
        <r>
          <rPr>
            <sz val="8"/>
            <rFont val="Tahoma"/>
            <family val="0"/>
          </rPr>
          <t xml:space="preserve">
</t>
        </r>
      </text>
    </comment>
    <comment ref="H36" authorId="4">
      <text>
        <r>
          <rPr>
            <sz val="8"/>
            <rFont val="Tahoma"/>
            <family val="0"/>
          </rPr>
          <t>sono previsti  aumenti del 5% per ogni  categoria di lavori a rischio.
riferimenti cap.17 guida compilazione parcelle</t>
        </r>
      </text>
    </comment>
    <comment ref="H37" authorId="4">
      <text>
        <r>
          <rPr>
            <sz val="8"/>
            <rFont val="Tahoma"/>
            <family val="0"/>
          </rPr>
          <t xml:space="preserve">sono previsti  aumenti del 5% per ogni  categoria di lavori a rischio.
riferimenti cap.17 guida compilazione parcelle </t>
        </r>
        <r>
          <rPr>
            <sz val="8"/>
            <rFont val="Tahoma"/>
            <family val="0"/>
          </rPr>
          <t xml:space="preserve">
</t>
        </r>
      </text>
    </comment>
    <comment ref="H38" authorId="4">
      <text>
        <r>
          <rPr>
            <b/>
            <sz val="8"/>
            <rFont val="Tahoma"/>
            <family val="2"/>
          </rPr>
          <t>sono previsti  aumenti del 5% per ogni  categoria di lavori a rischio.
riferimenti cap.17 guida compilazione parcelle</t>
        </r>
        <r>
          <rPr>
            <sz val="8"/>
            <rFont val="Tahoma"/>
            <family val="0"/>
          </rPr>
          <t xml:space="preserve">
</t>
        </r>
      </text>
    </comment>
    <comment ref="H39" authorId="5">
      <text>
        <r>
          <rPr>
            <sz val="8"/>
            <rFont val="Tahoma"/>
            <family val="0"/>
          </rPr>
          <t xml:space="preserve"> L'incremento può variare da 0 a 15 per i casi di edifici soggetti a vincolo
sono poi previsti  aumenti del 5% per ogni  categoria di lavori a rischio.
riferimenti cap.17 guida compilazione parcelle</t>
        </r>
        <r>
          <rPr>
            <sz val="8"/>
            <rFont val="Tahoma"/>
            <family val="0"/>
          </rPr>
          <t xml:space="preserve">
</t>
        </r>
      </text>
    </comment>
    <comment ref="H40" authorId="4">
      <text>
        <r>
          <rPr>
            <sz val="8"/>
            <rFont val="Tahoma"/>
            <family val="0"/>
          </rPr>
          <t xml:space="preserve"> L'incremento può variare da 0 a 25% per i casi di edifici soggetti a vincolo
sono poi previsti ulteriori aumenti del 5% per eventuali altre categorie di lavori a rischio.
riferimenti cap.17 guida compilazione parcelle</t>
        </r>
      </text>
    </comment>
  </commentList>
</comments>
</file>

<file path=xl/comments3.xml><?xml version="1.0" encoding="utf-8"?>
<comments xmlns="http://schemas.openxmlformats.org/spreadsheetml/2006/main">
  <authors>
    <author>Soliani Angelo</author>
    <author>Angelo Soliani</author>
    <author>Soliani</author>
    <author>Mario Curtoni</author>
  </authors>
  <commentList>
    <comment ref="B52" authorId="0">
      <text>
        <r>
          <rPr>
            <sz val="8"/>
            <rFont val="Tahoma"/>
            <family val="0"/>
          </rPr>
          <t>+10% Per aggiunte ed ampliamenti
+20% Per riparazioni e trasformazioni  +40% Per ordinaria manutenzione</t>
        </r>
      </text>
    </comment>
    <comment ref="G13" authorId="0">
      <text>
        <r>
          <rPr>
            <sz val="8"/>
            <rFont val="Tahoma"/>
            <family val="0"/>
          </rPr>
          <t xml:space="preserve">Fino al 50%   Per una maggiore assistenza su lavori in economia o per la tenuta della contabilità al di fuori della Tab.E     
 [CONCORDATE CON LA COMMITTENZA]
</t>
        </r>
      </text>
    </comment>
    <comment ref="G40" authorId="0">
      <text>
        <r>
          <rPr>
            <sz val="8"/>
            <rFont val="Tahoma"/>
            <family val="0"/>
          </rPr>
          <t>Se non è COLLAUDO ma certificato di regolare esecuzione &gt;&gt;&gt; si applica uno sconto del 20%
Se collaudo in corso d'opera si maggiora dal 15% al 30%                 Se riguarda opere di manutenzione si maggiora del 50%
Se COLLAUDO STATICO lo 0,20 di aliquota "c" di tab.B</t>
        </r>
      </text>
    </comment>
    <comment ref="G20" authorId="0">
      <text>
        <r>
          <rPr>
            <sz val="8"/>
            <rFont val="Tahoma"/>
            <family val="0"/>
          </rPr>
          <t xml:space="preserve">Per Soluzioni distinte per il  progetto di massima [CONCORDATE CON LA COMMITTENZA] maggiorazione sino al 100%
</t>
        </r>
      </text>
    </comment>
    <comment ref="G24" authorId="0">
      <text>
        <r>
          <rPr>
            <sz val="8"/>
            <rFont val="Tahoma"/>
            <family val="0"/>
          </rPr>
          <t xml:space="preserve">fino al 100% DI MAGGIORAZIONE: normalmente si applica dal 30 al 50%
</t>
        </r>
      </text>
    </comment>
    <comment ref="G15" authorId="0">
      <text>
        <r>
          <rPr>
            <sz val="8"/>
            <rFont val="Tahoma"/>
            <family val="0"/>
          </rPr>
          <t xml:space="preserve">DEVE SEMPRE ESSERE CONCORDATO CON LA COMMITTENZA E DOCUMENTATO
</t>
        </r>
      </text>
    </comment>
    <comment ref="G17" authorId="0">
      <text>
        <r>
          <rPr>
            <sz val="8"/>
            <rFont val="Tahoma"/>
            <family val="0"/>
          </rPr>
          <t>SVILUPPO OLTRE IL NORMALE DEGLI ELABORATI
CARATTERISTICHE PROGETTUALI PARTICOLARI
SPECIALI PRESCRIZIONI DI LEGGE</t>
        </r>
      </text>
    </comment>
    <comment ref="G18" authorId="0">
      <text>
        <r>
          <rPr>
            <b/>
            <sz val="8"/>
            <rFont val="Tahoma"/>
            <family val="2"/>
          </rPr>
          <t>SINO AL 100%
[CONCORDATO CON LA COMMITTENZA]</t>
        </r>
      </text>
    </comment>
    <comment ref="B12" authorId="1">
      <text>
        <r>
          <rPr>
            <sz val="8"/>
            <rFont val="Tahoma"/>
            <family val="0"/>
          </rPr>
          <t xml:space="preserve">Scegliere la categoria di lavori cliccando sulla casella
</t>
        </r>
      </text>
    </comment>
    <comment ref="C12" authorId="1">
      <text>
        <r>
          <rPr>
            <b/>
            <sz val="8"/>
            <rFont val="Tahoma"/>
            <family val="2"/>
          </rPr>
          <t>INSERIRE IL COSTO DELL'OPERA POI CLICCARE SU    'RICALCOLA'</t>
        </r>
      </text>
    </comment>
    <comment ref="C17" authorId="1">
      <text>
        <r>
          <rPr>
            <b/>
            <sz val="8"/>
            <rFont val="Tahoma"/>
            <family val="2"/>
          </rPr>
          <t>INSERIRE LA  %  DI PARZIALIZZAZIONE DI QUESTA VOCE (vale per tutta la colonna)</t>
        </r>
        <r>
          <rPr>
            <sz val="8"/>
            <rFont val="Tahoma"/>
            <family val="0"/>
          </rPr>
          <t xml:space="preserve">
</t>
        </r>
      </text>
    </comment>
    <comment ref="C19" authorId="1">
      <text>
        <r>
          <rPr>
            <b/>
            <sz val="8"/>
            <rFont val="Tahoma"/>
            <family val="2"/>
          </rPr>
          <t>INSERIRE LA  %  DI PARZIALIZZAZIONE DI QUESTA VOCE (vale per tutta la colonna)</t>
        </r>
        <r>
          <rPr>
            <sz val="8"/>
            <rFont val="Tahoma"/>
            <family val="0"/>
          </rPr>
          <t xml:space="preserve">
</t>
        </r>
      </text>
    </comment>
    <comment ref="H49" authorId="1">
      <text>
        <r>
          <rPr>
            <b/>
            <sz val="8"/>
            <rFont val="Tahoma"/>
            <family val="2"/>
          </rPr>
          <t>Va calcolato a percentuale ma deve essere esposto a discrezione</t>
        </r>
        <r>
          <rPr>
            <sz val="8"/>
            <rFont val="Tahoma"/>
            <family val="0"/>
          </rPr>
          <t xml:space="preserve">
</t>
        </r>
      </text>
    </comment>
    <comment ref="H51" authorId="1">
      <text>
        <r>
          <rPr>
            <b/>
            <sz val="8"/>
            <rFont val="Tahoma"/>
            <family val="2"/>
          </rPr>
          <t>Va calcolato a percentuale ma deve essere esposto a discrezione</t>
        </r>
        <r>
          <rPr>
            <sz val="8"/>
            <rFont val="Tahoma"/>
            <family val="0"/>
          </rPr>
          <t xml:space="preserve">
</t>
        </r>
      </text>
    </comment>
    <comment ref="H54" authorId="1">
      <text>
        <r>
          <rPr>
            <b/>
            <sz val="8"/>
            <rFont val="Tahoma"/>
            <family val="2"/>
          </rPr>
          <t>sono già comprensivi di spese - così come le ore a vacazione</t>
        </r>
      </text>
    </comment>
    <comment ref="H55" authorId="1">
      <text>
        <r>
          <rPr>
            <b/>
            <sz val="8"/>
            <rFont val="Tahoma"/>
            <family val="2"/>
          </rPr>
          <t>Così come calcolato deve essere applicato solo alla tabella B 
E può essere applicato lo sconto solo agli enti pubblici</t>
        </r>
        <r>
          <rPr>
            <sz val="8"/>
            <rFont val="Tahoma"/>
            <family val="0"/>
          </rPr>
          <t xml:space="preserve">
</t>
        </r>
      </text>
    </comment>
    <comment ref="A34" authorId="1">
      <text>
        <r>
          <rPr>
            <b/>
            <sz val="8"/>
            <rFont val="Tahoma"/>
            <family val="2"/>
          </rPr>
          <t>Si applica all'importo di un progetto stralciato da un altro progetto già realizzato e pagato</t>
        </r>
        <r>
          <rPr>
            <sz val="8"/>
            <rFont val="Tahoma"/>
            <family val="0"/>
          </rPr>
          <t xml:space="preserve">
</t>
        </r>
      </text>
    </comment>
    <comment ref="A36" authorId="1">
      <text>
        <r>
          <rPr>
            <b/>
            <sz val="8"/>
            <rFont val="Tahoma"/>
            <family val="2"/>
          </rPr>
          <t>Da un progetto di massima realizzato si possono realizzare le opere in più lotti
La maggiorazione si applica all'importo di ogni lotto
La percentuale (da Tab. A) viene calcolata sui singoli lotti se affidati con incarichi separati; sulla somma dei lotti se l'incarico è unico!</t>
        </r>
      </text>
    </comment>
    <comment ref="A38" authorId="1">
      <text>
        <r>
          <rPr>
            <b/>
            <sz val="8"/>
            <rFont val="Tahoma"/>
            <family val="2"/>
          </rPr>
          <t>Si applica alla DDLL di ogni lotto</t>
        </r>
        <r>
          <rPr>
            <sz val="8"/>
            <rFont val="Tahoma"/>
            <family val="0"/>
          </rPr>
          <t xml:space="preserve">
</t>
        </r>
      </text>
    </comment>
    <comment ref="H25" authorId="1">
      <text>
        <r>
          <rPr>
            <b/>
            <sz val="8"/>
            <rFont val="Tahoma"/>
            <family val="2"/>
          </rPr>
          <t>IL CALCOLO VIENE ESEGUITO SULLA BASE DEI DATI PRESENTI NELLE CELLE B15 - B17- B21</t>
        </r>
      </text>
    </comment>
    <comment ref="H21" authorId="1">
      <text>
        <r>
          <rPr>
            <b/>
            <sz val="8"/>
            <rFont val="Tahoma"/>
            <family val="2"/>
          </rPr>
          <t>IL CALCOLO VIENE ESEGUITO INDIPENDENTEMENTE DAI DATI PRESENTI NELLE CELLE B15 - B16</t>
        </r>
        <r>
          <rPr>
            <sz val="8"/>
            <rFont val="Tahoma"/>
            <family val="0"/>
          </rPr>
          <t xml:space="preserve">
</t>
        </r>
      </text>
    </comment>
    <comment ref="H18" authorId="1">
      <text>
        <r>
          <rPr>
            <b/>
            <sz val="8"/>
            <rFont val="Tahoma"/>
            <family val="2"/>
          </rPr>
          <t>IL CALCOLO VIENE ESEGUITO INDIPENDENTEMENTE DAI DATI PRESENTI NELLE CELLE B15 / B21</t>
        </r>
        <r>
          <rPr>
            <sz val="8"/>
            <rFont val="Tahoma"/>
            <family val="0"/>
          </rPr>
          <t xml:space="preserve">
</t>
        </r>
      </text>
    </comment>
    <comment ref="H16" authorId="1">
      <text>
        <r>
          <rPr>
            <b/>
            <sz val="8"/>
            <rFont val="Tahoma"/>
            <family val="2"/>
          </rPr>
          <t>IL CALCOLO VIENE ESEGUITO INDIPENDENTEMENTE DAI DATI PRESENTI NELLE CELLE B15 / B20</t>
        </r>
        <r>
          <rPr>
            <sz val="8"/>
            <rFont val="Tahoma"/>
            <family val="0"/>
          </rPr>
          <t xml:space="preserve">
</t>
        </r>
      </text>
    </comment>
    <comment ref="H14" authorId="1">
      <text>
        <r>
          <rPr>
            <b/>
            <sz val="8"/>
            <rFont val="Tahoma"/>
            <family val="2"/>
          </rPr>
          <t>IL CALCOLO VIENE ESEGUITO INDIPENDENTEMENTE DAI DATI PRESENTI NELLE CELLE B21</t>
        </r>
        <r>
          <rPr>
            <sz val="8"/>
            <rFont val="Tahoma"/>
            <family val="0"/>
          </rPr>
          <t xml:space="preserve">
</t>
        </r>
      </text>
    </comment>
    <comment ref="B56" authorId="1">
      <text>
        <r>
          <rPr>
            <b/>
            <sz val="8"/>
            <rFont val="Tahoma"/>
            <family val="2"/>
          </rPr>
          <t xml:space="preserve">inserire il valore </t>
        </r>
        <r>
          <rPr>
            <sz val="8"/>
            <rFont val="Tahoma"/>
            <family val="0"/>
          </rPr>
          <t xml:space="preserve">
</t>
        </r>
      </text>
    </comment>
    <comment ref="C21" authorId="2">
      <text>
        <r>
          <rPr>
            <b/>
            <sz val="8"/>
            <rFont val="Tahoma"/>
            <family val="2"/>
          </rPr>
          <t xml:space="preserve">direzione artistica 0,60 %
</t>
        </r>
        <r>
          <rPr>
            <sz val="8"/>
            <rFont val="Tahoma"/>
            <family val="0"/>
          </rPr>
          <t xml:space="preserve">
</t>
        </r>
      </text>
    </comment>
    <comment ref="H32" authorId="2">
      <text>
        <r>
          <rPr>
            <sz val="8"/>
            <rFont val="Tahoma"/>
            <family val="0"/>
          </rPr>
          <t xml:space="preserve"> L'incremento può variare da 0 a 15 per i casi di edifici soggetti a vincolo
sono poi previsti  aumenti del 5% per ogni  categoria di lavori a rischio.
riferimenti cap.17 guida compilazione parcelle</t>
        </r>
        <r>
          <rPr>
            <sz val="8"/>
            <rFont val="Tahoma"/>
            <family val="0"/>
          </rPr>
          <t xml:space="preserve">
</t>
        </r>
      </text>
    </comment>
    <comment ref="H33" authorId="3">
      <text>
        <r>
          <rPr>
            <sz val="8"/>
            <rFont val="Tahoma"/>
            <family val="0"/>
          </rPr>
          <t xml:space="preserve"> L'incremento può variare da 0 a 25% per i casi di edifici soggetti a vincolo
sono poi previsti ulteriori aumenti del 5% per eventuali altre categorie di lavori a rischio.
riferimenti cap.17 guida compilazione parcelle</t>
        </r>
      </text>
    </comment>
    <comment ref="H29" authorId="3">
      <text>
        <r>
          <rPr>
            <sz val="8"/>
            <rFont val="Tahoma"/>
            <family val="0"/>
          </rPr>
          <t>sono previsti  aumenti del 5% per ogni  categoria di lavori a rischio.
riferimenti cap.17 guida compilazione parcelle</t>
        </r>
      </text>
    </comment>
    <comment ref="H30" authorId="3">
      <text>
        <r>
          <rPr>
            <sz val="8"/>
            <rFont val="Tahoma"/>
            <family val="0"/>
          </rPr>
          <t xml:space="preserve">sono previsti  aumenti del 5% per ogni  categoria di lavori a rischio.
riferimenti cap.17 guida compilazione parcelle </t>
        </r>
        <r>
          <rPr>
            <sz val="8"/>
            <rFont val="Tahoma"/>
            <family val="0"/>
          </rPr>
          <t xml:space="preserve">
</t>
        </r>
      </text>
    </comment>
    <comment ref="H31" authorId="3">
      <text>
        <r>
          <rPr>
            <b/>
            <sz val="8"/>
            <rFont val="Tahoma"/>
            <family val="2"/>
          </rPr>
          <t>sono previsti  aumenti del 5% per ogni  categoria di lavori a rischio.
riferimenti cap.17 guida compilazione parcelle</t>
        </r>
        <r>
          <rPr>
            <sz val="8"/>
            <rFont val="Tahoma"/>
            <family val="0"/>
          </rPr>
          <t xml:space="preserve">
</t>
        </r>
      </text>
    </comment>
  </commentList>
</comments>
</file>

<file path=xl/comments7.xml><?xml version="1.0" encoding="utf-8"?>
<comments xmlns="http://schemas.openxmlformats.org/spreadsheetml/2006/main">
  <authors>
    <author>Soliani Angelo</author>
    <author>Angelo Soliani</author>
  </authors>
  <commentList>
    <comment ref="B11" authorId="0">
      <text>
        <r>
          <rPr>
            <b/>
            <sz val="8"/>
            <rFont val="Tahoma"/>
            <family val="2"/>
          </rPr>
          <t>da 15  a  30 lire</t>
        </r>
      </text>
    </comment>
    <comment ref="C30" authorId="1">
      <text>
        <r>
          <rPr>
            <b/>
            <sz val="8"/>
            <rFont val="Tahoma"/>
            <family val="2"/>
          </rPr>
          <t>inserire l'indice ISTAT riferito all'anno dell'incarico</t>
        </r>
        <r>
          <rPr>
            <sz val="8"/>
            <rFont val="Tahoma"/>
            <family val="0"/>
          </rPr>
          <t xml:space="preserve">
</t>
        </r>
      </text>
    </comment>
  </commentList>
</comments>
</file>

<file path=xl/sharedStrings.xml><?xml version="1.0" encoding="utf-8"?>
<sst xmlns="http://schemas.openxmlformats.org/spreadsheetml/2006/main" count="1211" uniqueCount="390">
  <si>
    <t>adeguamento del piano</t>
  </si>
  <si>
    <t>coordinamento organizz. Informazione</t>
  </si>
  <si>
    <t>BASE</t>
  </si>
  <si>
    <t>U= aliquota base</t>
  </si>
  <si>
    <t>o</t>
  </si>
  <si>
    <t>p</t>
  </si>
  <si>
    <t>q</t>
  </si>
  <si>
    <t>r</t>
  </si>
  <si>
    <t>s</t>
  </si>
  <si>
    <t>t</t>
  </si>
  <si>
    <t>u</t>
  </si>
  <si>
    <t>v</t>
  </si>
  <si>
    <t>seppellimento</t>
  </si>
  <si>
    <t>chimico biologico</t>
  </si>
  <si>
    <t>radiazioni</t>
  </si>
  <si>
    <t>linee elettriche</t>
  </si>
  <si>
    <t>annegamento</t>
  </si>
  <si>
    <t>lavori sotterranei</t>
  </si>
  <si>
    <t>lavori subaquei</t>
  </si>
  <si>
    <t>lavori in cassoni</t>
  </si>
  <si>
    <t>impiego di esplosivi</t>
  </si>
  <si>
    <t>montaggio prefabbricati pesanti</t>
  </si>
  <si>
    <r>
      <t>L=</t>
    </r>
    <r>
      <rPr>
        <sz val="8"/>
        <rFont val="Arial"/>
        <family val="2"/>
      </rPr>
      <t>Σ m:v</t>
    </r>
  </si>
  <si>
    <t>NON INSERIRE O TOGLIERE RIGHE (MANTENERE "PARCELLA" IN CASELLA    [AX2]</t>
  </si>
  <si>
    <t>TABELLA DEGLI INCREMENTI</t>
  </si>
  <si>
    <r>
      <t>U+</t>
    </r>
    <r>
      <rPr>
        <b/>
        <sz val="8"/>
        <rFont val="Arial"/>
        <family val="2"/>
      </rPr>
      <t>(Y</t>
    </r>
    <r>
      <rPr>
        <sz val="8"/>
        <rFont val="Arial"/>
        <family val="2"/>
      </rPr>
      <t>*U)</t>
    </r>
  </si>
  <si>
    <r>
      <t>I*(1+</t>
    </r>
    <r>
      <rPr>
        <b/>
        <sz val="8"/>
        <rFont val="Arial"/>
        <family val="2"/>
      </rPr>
      <t>L</t>
    </r>
    <r>
      <rPr>
        <sz val="8"/>
        <rFont val="Arial"/>
        <family val="2"/>
      </rPr>
      <t>)</t>
    </r>
  </si>
  <si>
    <t>ONORARIO PER REDAZIONE DI PERIZIA SUPPLETIVA O VARIANTE AI LAVORI</t>
  </si>
  <si>
    <t xml:space="preserve">    ALTRE    PRESTAZIONI</t>
  </si>
  <si>
    <t>del progetto di massima ed esecutivo</t>
  </si>
  <si>
    <t>prefabbricati pesanti</t>
  </si>
  <si>
    <t xml:space="preserve">INCREMENTI </t>
  </si>
  <si>
    <t xml:space="preserve">      App.Distinti</t>
  </si>
  <si>
    <t xml:space="preserve"> Compensi per vacazioni </t>
  </si>
  <si>
    <t xml:space="preserve"> Compensi a discrezione per rilievi</t>
  </si>
  <si>
    <t xml:space="preserve"> Compensi a discrezione per collaudo</t>
  </si>
  <si>
    <t>Percentuale per adeguamento ISTAT dal 1969 (anno a cui si riferisce il calcolo al luglio 2010)</t>
  </si>
  <si>
    <t>ISTRUZIONI PER LA VISUALIZZAZIONE</t>
  </si>
  <si>
    <t>CALCOLO CON IL VECCHIO METODO  togliere spunte ed inserire %</t>
  </si>
  <si>
    <t>con % = 100%</t>
  </si>
  <si>
    <t xml:space="preserve">OPERA: </t>
  </si>
  <si>
    <t xml:space="preserve">COMMITTENTE: </t>
  </si>
  <si>
    <t xml:space="preserve">DATA:  </t>
  </si>
  <si>
    <t>della provincia di ………….  al  N°</t>
  </si>
  <si>
    <t>TOTALE ONORARI</t>
  </si>
  <si>
    <t>ARREDI  ACQUISTATI</t>
  </si>
  <si>
    <t>Costo</t>
  </si>
  <si>
    <t>l. Assistenza al collaudo</t>
  </si>
  <si>
    <t>TOTALE GENERALE</t>
  </si>
  <si>
    <t>ARREDI REALIZZATI SU DISEGNO</t>
  </si>
  <si>
    <t>arredi disegnati</t>
  </si>
  <si>
    <t>tende</t>
  </si>
  <si>
    <t>piastrelle e sanitari x bagno disegnato</t>
  </si>
  <si>
    <t>posatori</t>
  </si>
  <si>
    <t>Soprammobili</t>
  </si>
  <si>
    <t>PROGETTAZIONE IMPIANTI ELETTRICI</t>
  </si>
  <si>
    <t>armadi acquistati</t>
  </si>
  <si>
    <t>tavoli acquistati</t>
  </si>
  <si>
    <t>serramenti</t>
  </si>
  <si>
    <t>idrotermica</t>
  </si>
  <si>
    <t>elettricisti</t>
  </si>
  <si>
    <t>muratori</t>
  </si>
  <si>
    <r>
      <t xml:space="preserve">                         </t>
    </r>
    <r>
      <rPr>
        <b/>
        <u val="single"/>
        <sz val="8"/>
        <rFont val="Arial"/>
        <family val="2"/>
      </rPr>
      <t>DISTINTA DELLE SPESE</t>
    </r>
  </si>
  <si>
    <t>IMPIANTI DI RISCALDAMENTO E CONDIZ.</t>
  </si>
  <si>
    <t>primo</t>
  </si>
  <si>
    <t>quarto</t>
  </si>
  <si>
    <t>secondo</t>
  </si>
  <si>
    <t>CALCOLI SISMICO-STRUTTURALI</t>
  </si>
  <si>
    <t>PROGETTAZIONE IMPIANTI ELETTRICI &amp; AFFINI</t>
  </si>
  <si>
    <t>Progettazione generale</t>
  </si>
  <si>
    <t>Esecuzione opere edili</t>
  </si>
  <si>
    <t>Esecuzione strutture</t>
  </si>
  <si>
    <t>Idrosanitorio e fogna</t>
  </si>
  <si>
    <t>PROGETTAZIONE ARCHITETTONICA ED IMPIANTI  professionista unico con appalti separati ESEMPIO 5,3 pag.29</t>
  </si>
  <si>
    <t>PROG. IMPIANTI IDROSANITARI E FOGNATURE</t>
  </si>
  <si>
    <t>il 20 percento</t>
  </si>
  <si>
    <r>
      <t>B31*</t>
    </r>
    <r>
      <rPr>
        <sz val="10"/>
        <color indexed="10"/>
        <rFont val="Arial"/>
        <family val="2"/>
      </rPr>
      <t>B28</t>
    </r>
    <r>
      <rPr>
        <sz val="10"/>
        <rFont val="Arial"/>
        <family val="0"/>
      </rPr>
      <t>*</t>
    </r>
    <r>
      <rPr>
        <b/>
        <sz val="10"/>
        <rFont val="Arial"/>
        <family val="2"/>
      </rPr>
      <t>C27</t>
    </r>
    <r>
      <rPr>
        <sz val="10"/>
        <rFont val="Arial"/>
        <family val="0"/>
      </rPr>
      <t>/100</t>
    </r>
  </si>
  <si>
    <r>
      <t>B13</t>
    </r>
    <r>
      <rPr>
        <sz val="10"/>
        <rFont val="Arial"/>
        <family val="0"/>
      </rPr>
      <t>*B29*</t>
    </r>
    <r>
      <rPr>
        <b/>
        <sz val="10"/>
        <rFont val="Arial"/>
        <family val="2"/>
      </rPr>
      <t>C27</t>
    </r>
    <r>
      <rPr>
        <sz val="10"/>
        <rFont val="Arial"/>
        <family val="0"/>
      </rPr>
      <t>/100</t>
    </r>
  </si>
  <si>
    <r>
      <t>B13</t>
    </r>
    <r>
      <rPr>
        <sz val="10"/>
        <rFont val="Arial"/>
        <family val="0"/>
      </rPr>
      <t>*B30*(</t>
    </r>
    <r>
      <rPr>
        <b/>
        <sz val="10"/>
        <rFont val="Arial"/>
        <family val="2"/>
      </rPr>
      <t>C12-C27</t>
    </r>
    <r>
      <rPr>
        <sz val="10"/>
        <rFont val="Arial"/>
        <family val="0"/>
      </rPr>
      <t>)/100</t>
    </r>
  </si>
  <si>
    <t xml:space="preserve">       Strutture</t>
  </si>
  <si>
    <t>PIANI PARTICOLAREGGIATI E DI ZONA</t>
  </si>
  <si>
    <t>IMPORTO LAVORI  ESEGUITI   €</t>
  </si>
  <si>
    <t>PERCENTUALE  DA  TAB"A"  X ARREDI APROGETTATI</t>
  </si>
  <si>
    <t xml:space="preserve">  PROGETTAZIONE GENERALE</t>
  </si>
  <si>
    <t>calcolo tradizionale</t>
  </si>
  <si>
    <r>
      <t xml:space="preserve">IMPORTO X PROGETTAZIONE </t>
    </r>
    <r>
      <rPr>
        <b/>
        <sz val="8"/>
        <rFont val="Arial"/>
        <family val="2"/>
      </rPr>
      <t>REALIZZATA</t>
    </r>
  </si>
  <si>
    <r>
      <t xml:space="preserve">IMPORTO X PROGETTAZIONE </t>
    </r>
    <r>
      <rPr>
        <b/>
        <sz val="8"/>
        <rFont val="Arial"/>
        <family val="2"/>
      </rPr>
      <t>NON REALIZZ.</t>
    </r>
  </si>
  <si>
    <r>
      <t xml:space="preserve">IMPORTO   RELATIVO   ALLA    </t>
    </r>
    <r>
      <rPr>
        <b/>
        <sz val="8"/>
        <rFont val="Arial"/>
        <family val="2"/>
      </rPr>
      <t>DDLL</t>
    </r>
  </si>
  <si>
    <t>massimi TA</t>
  </si>
  <si>
    <t>supera  TA max</t>
  </si>
  <si>
    <t>PROGETTAZIONE DI STRUTTURE ED IMPIANTI  ALLEGATO  ALLA PARCELLA ARCHITETTONICA</t>
  </si>
  <si>
    <t>PROG. DI BONIFICA DEI TERRENI</t>
  </si>
  <si>
    <t>Impianti elettrici e affini</t>
  </si>
  <si>
    <t>PRIME INDICAZIONI E PRESCRIZIONI</t>
  </si>
  <si>
    <t>F</t>
  </si>
  <si>
    <t>G</t>
  </si>
  <si>
    <t>H</t>
  </si>
  <si>
    <t>I</t>
  </si>
  <si>
    <t>n</t>
  </si>
  <si>
    <t>INCREMENTI</t>
  </si>
  <si>
    <t>f+g+h</t>
  </si>
  <si>
    <t>Y</t>
  </si>
  <si>
    <t>W</t>
  </si>
  <si>
    <t>IMPORTO</t>
  </si>
  <si>
    <t>W * imp * % /100</t>
  </si>
  <si>
    <t>SCHEMA BASE X IL CALCOLO</t>
  </si>
  <si>
    <t xml:space="preserve">edifici vincolati </t>
  </si>
  <si>
    <t>progettazione realizzata</t>
  </si>
  <si>
    <t>pro non realizzata</t>
  </si>
  <si>
    <t>parte di DDL  fatta</t>
  </si>
  <si>
    <t>CALCOLI X PROGETTAZIONE + DDLL PARZIALE CON INTERRUZIONE</t>
  </si>
  <si>
    <t>€ 56,81vacazione x Architetto</t>
  </si>
  <si>
    <t>€ 37,96 x collaboratore</t>
  </si>
  <si>
    <t>€ 28,41 x addetto</t>
  </si>
  <si>
    <t>schema per la sicurezza</t>
  </si>
  <si>
    <t>l1. Liquidazione</t>
  </si>
  <si>
    <t>Piano di manutenzione</t>
  </si>
  <si>
    <t>Aggiornamento progetto e manutenzioni</t>
  </si>
  <si>
    <t>Supervisione DDLL</t>
  </si>
  <si>
    <t>Ufficio della DDLL</t>
  </si>
  <si>
    <t>IC-TAB-B</t>
  </si>
  <si>
    <t>TOTALE   ALIQUOTE</t>
  </si>
  <si>
    <t>TOTALE SPESA CORRISPONDENTE</t>
  </si>
  <si>
    <t>ATTIVITA' DI RESPONSABILE IN MATERIA DI SICUREZZA</t>
  </si>
  <si>
    <t>IMPORTO DEI LAVORI ………………………</t>
  </si>
  <si>
    <t>ALIQUOTA DI TAB.A ………………………..</t>
  </si>
  <si>
    <t>ALIQUOTA BASE</t>
  </si>
  <si>
    <t>PRIME INDICAZIONI E DESCRIZIONI</t>
  </si>
  <si>
    <t>RESPONSABILE PROGETTO</t>
  </si>
  <si>
    <t>RESPONSABILE ESECUZIONE</t>
  </si>
  <si>
    <t>COORDINATORE PROGETTAZIONE</t>
  </si>
  <si>
    <t xml:space="preserve">TOTALE ALIQ. BASE + INCREMENTI </t>
  </si>
  <si>
    <t xml:space="preserve">e compensi accessori di cui all'Art.4 </t>
  </si>
  <si>
    <t xml:space="preserve">Compenso a discrezione x </t>
  </si>
  <si>
    <t xml:space="preserve"> </t>
  </si>
  <si>
    <t>IC-PERCENT</t>
  </si>
  <si>
    <t xml:space="preserve">CALCOLO </t>
  </si>
  <si>
    <t>PERCENTUALE</t>
  </si>
  <si>
    <t>MAGGIORAZIONI</t>
  </si>
  <si>
    <t>PARZIALIZZAZIONI</t>
  </si>
  <si>
    <t>h</t>
  </si>
  <si>
    <t>m</t>
  </si>
  <si>
    <t>Eventuali maggiorazioni di cui all'art.8</t>
  </si>
  <si>
    <t>€</t>
  </si>
  <si>
    <t>COORDINATORE ESECUZIONE</t>
  </si>
  <si>
    <t>IMPORTO SICUREZZA</t>
  </si>
  <si>
    <t>IMPORTO PERIZIA</t>
  </si>
  <si>
    <t>IMPORTO OPERE PER COLLAUDO</t>
  </si>
  <si>
    <t>IMPORTO CONTABILITA'</t>
  </si>
  <si>
    <t>IMPORTO OPERE</t>
  </si>
  <si>
    <t>Fino a € 2582,28</t>
  </si>
  <si>
    <t>Sul di più fino a € 10329,14</t>
  </si>
  <si>
    <t>Sul di più fino a € 25882,84</t>
  </si>
  <si>
    <t>Sul di più fino a € 51645,69</t>
  </si>
  <si>
    <t>Oltre € 51645,69</t>
  </si>
  <si>
    <t>il 50 percento</t>
  </si>
  <si>
    <t>Compensi spettanti al dott. Arch.</t>
  </si>
  <si>
    <t>Iscritto all'ordine degli architetti</t>
  </si>
  <si>
    <t>della provincia di Piacenza  al  N°</t>
  </si>
  <si>
    <r>
      <t xml:space="preserve">PARCELLA PER PRESTAZIONI PROFESSIONALI                                                                                                                        </t>
    </r>
    <r>
      <rPr>
        <b/>
        <sz val="10"/>
        <rFont val="Arial"/>
        <family val="2"/>
      </rPr>
      <t>Legge 2,3,1949 n.143 e successive modificazioni</t>
    </r>
  </si>
  <si>
    <t>ATTIVITA' DI RESPONSABILE</t>
  </si>
  <si>
    <t>IN MATERIA DI SICUREZZA</t>
  </si>
  <si>
    <t>nuova % per l'importo realizzato</t>
  </si>
  <si>
    <t>PARCELLA  CON  DDLL  INTERROTTA</t>
  </si>
  <si>
    <t>TOTALE ONORARIO BASE</t>
  </si>
  <si>
    <t xml:space="preserve">          PROGETTAZIONE DI ARREDAMENTI</t>
  </si>
  <si>
    <t xml:space="preserve">  PROGETTAZIONE ARREDAMENTI</t>
  </si>
  <si>
    <t>Costo dell'opera   da preventivo</t>
  </si>
  <si>
    <t>OPERE EDILI PREPARATORIE</t>
  </si>
  <si>
    <t>Costo Opere</t>
  </si>
  <si>
    <t>PROGETTAZIONE TERMOIDRAULICA</t>
  </si>
  <si>
    <t>Costo impianto</t>
  </si>
  <si>
    <t>Prestazioni parziali (Tab.B)</t>
  </si>
  <si>
    <t>Calcolo dell'onorario</t>
  </si>
  <si>
    <t>RIEPILOGO DELLA PARCELLA</t>
  </si>
  <si>
    <t>PERCENTUALE ARREDI CALCOLATA DA  TAB"A"  SULLA SOMMA DI ARREDI ACQUISTATI E PROGETTATI</t>
  </si>
  <si>
    <r>
      <t xml:space="preserve">Per </t>
    </r>
    <r>
      <rPr>
        <sz val="8"/>
        <color indexed="61"/>
        <rFont val="Arial"/>
        <family val="2"/>
      </rPr>
      <t>PARTICOLARI CARATTERISTICHE D'INCARICO</t>
    </r>
  </si>
  <si>
    <t>PARCELLA</t>
  </si>
  <si>
    <t xml:space="preserve">Maggiorazioni 15% per LOTTI su voci c, d, e, f </t>
  </si>
  <si>
    <t>Maggiorazioni 10% per LOTTI su voce g per DDLL</t>
  </si>
  <si>
    <t xml:space="preserve">  PARCELLA</t>
  </si>
  <si>
    <t>Costo dell'opera</t>
  </si>
  <si>
    <t>Somma Val.Ass.opere in più ed in meno</t>
  </si>
  <si>
    <t>ALIQUOTA PER IL CALCOLO DELL'ONORARIO</t>
  </si>
  <si>
    <t>Perizia</t>
  </si>
  <si>
    <t xml:space="preserve">COMPENSI TOTALI  s.e.&amp; o. </t>
  </si>
  <si>
    <t>da assoggettare ad IVA e cassa</t>
  </si>
  <si>
    <t>Compenso a discrezione per compensazione</t>
  </si>
  <si>
    <t>della quota parte dei particolari costruttivi</t>
  </si>
  <si>
    <t>Maggiorazione contab. per LAVORI DI TRASFORMAZIONE e riparazione</t>
  </si>
  <si>
    <t>.</t>
  </si>
  <si>
    <r>
      <t xml:space="preserve">Per </t>
    </r>
    <r>
      <rPr>
        <sz val="8"/>
        <color indexed="61"/>
        <rFont val="Arial"/>
        <family val="2"/>
      </rPr>
      <t>OPERE IN ECONOMIA</t>
    </r>
    <r>
      <rPr>
        <sz val="8"/>
        <rFont val="Arial"/>
        <family val="2"/>
      </rPr>
      <t xml:space="preserve"> che richiedono</t>
    </r>
  </si>
  <si>
    <t>Compensi per rilievi</t>
  </si>
  <si>
    <t>Compenso a discrezione x approfondimento</t>
  </si>
  <si>
    <t>NON</t>
  </si>
  <si>
    <t>CANCELLARE</t>
  </si>
  <si>
    <t>PER ALCUN</t>
  </si>
  <si>
    <t>MOTIVO</t>
  </si>
  <si>
    <t>CANC.</t>
  </si>
  <si>
    <t>PER</t>
  </si>
  <si>
    <t>ALCUN</t>
  </si>
  <si>
    <t xml:space="preserve">        Timbro e firma</t>
  </si>
  <si>
    <t xml:space="preserve">       del professionista.</t>
  </si>
  <si>
    <t>NOTE:</t>
  </si>
  <si>
    <t>SI ALLEGANO ALLA PRESENTE n.2 fogli contenenti:</t>
  </si>
  <si>
    <t xml:space="preserve">1) calcolo percella per STRUTTURE                  </t>
  </si>
  <si>
    <t xml:space="preserve">1) calcolo percella per IMP. ELETTRICO               </t>
  </si>
  <si>
    <t xml:space="preserve">1) calcolo percella per IMP. TERMOIDRAULICO    </t>
  </si>
  <si>
    <t xml:space="preserve">1) che sommate al totale della presente                </t>
  </si>
  <si>
    <t xml:space="preserve">             SOMMANO PER IL TOT. GEN.         </t>
  </si>
  <si>
    <t>Impianti idrosanitari in edifici</t>
  </si>
  <si>
    <t>impianti di riscadamento e condiz. In edifici</t>
  </si>
  <si>
    <t xml:space="preserve">  ENTI</t>
  </si>
  <si>
    <t>IC-TAB-B1</t>
  </si>
  <si>
    <t>B1 ALIQUOTE INTEGRATIVE</t>
  </si>
  <si>
    <t>Piano economico</t>
  </si>
  <si>
    <t>Capitolato</t>
  </si>
  <si>
    <t>a. Relazioni, planimetrie, schemi grafici</t>
  </si>
  <si>
    <t>Relazione geotecnica</t>
  </si>
  <si>
    <t>b. Calcolo sommario di spesa</t>
  </si>
  <si>
    <t>Relazione idrologica</t>
  </si>
  <si>
    <t>c. Elaborati per ottenimento autorizzazioni</t>
  </si>
  <si>
    <t>Relazione idraulica</t>
  </si>
  <si>
    <t>d. Disciplinare elementi tecnici</t>
  </si>
  <si>
    <t>Relazione sismica</t>
  </si>
  <si>
    <t>e. Computo metrico, Quadro economico</t>
  </si>
  <si>
    <t>Relazione archeologica</t>
  </si>
  <si>
    <t>f. Relazione, elaborati, calcoli esecutivi</t>
  </si>
  <si>
    <t>Studio insediamento urbanistico</t>
  </si>
  <si>
    <t>g. Particolari costruttivi e decorativi</t>
  </si>
  <si>
    <t>Capitolato speciale</t>
  </si>
  <si>
    <t>h. Computo definitivo, elementi per appalto</t>
  </si>
  <si>
    <t>i. Contratto, Capitolato speciale, cronopr.</t>
  </si>
  <si>
    <t>l. DDLL, assistenza al collaudo, prove off.</t>
  </si>
  <si>
    <t>Da tabella risulta il coefficiente d'adeguamento secondo l'art.8 della tariffa urbanistica in base agli ettari oggetto dell'intervento</t>
  </si>
  <si>
    <t>Da cui applicando l'adeguamento risulta</t>
  </si>
  <si>
    <t>RIMBORSO SPESE E COMPENSI ACCESSORI PER PIANI</t>
  </si>
  <si>
    <t>onorario =</t>
  </si>
  <si>
    <t>Calcolo delle spese</t>
  </si>
  <si>
    <t>Art.13 conglobamento delle spese di cui all'Art.6 e compensi accessori di cui all'Art.4 Secondo la Tabella</t>
  </si>
  <si>
    <t>ONORARIO PER TARIFFA URBANISTICA</t>
  </si>
  <si>
    <t>Calcolo dell'adeguamento ISTAT riferito all'onorario</t>
  </si>
  <si>
    <t>ONORARIO PER TARIFFA URBANISTICA ADEGUATA</t>
  </si>
  <si>
    <t xml:space="preserve">TOTALE DEGLI ONORARI </t>
  </si>
  <si>
    <t>L</t>
  </si>
  <si>
    <t>Maggiorazione 25 %  per STRALCIO su voci   c, d, f</t>
  </si>
  <si>
    <t>Art.17</t>
  </si>
  <si>
    <t>Scuole, edifici rurali o industriali</t>
  </si>
  <si>
    <t>Come alla lettera B ma di importanza maggiore</t>
  </si>
  <si>
    <t>Restauri ed edifici di rilevanza architettonica</t>
  </si>
  <si>
    <t>Disegno di mobili, opere artistiche</t>
  </si>
  <si>
    <t>Strutture in cemento armato</t>
  </si>
  <si>
    <t>Strutture in cemento armato antisismiche</t>
  </si>
  <si>
    <t>Detrazioni o aumenti percentuali</t>
  </si>
  <si>
    <t>perc.app. su art.(a)(b) di tabella "B" =</t>
  </si>
  <si>
    <t>Ia</t>
  </si>
  <si>
    <t>Ib</t>
  </si>
  <si>
    <t>Ic</t>
  </si>
  <si>
    <t>Id</t>
  </si>
  <si>
    <t>Ie</t>
  </si>
  <si>
    <t>If</t>
  </si>
  <si>
    <t>Ig</t>
  </si>
  <si>
    <t>IIIa</t>
  </si>
  <si>
    <t>IIIb</t>
  </si>
  <si>
    <t>IIIc</t>
  </si>
  <si>
    <t>IIc</t>
  </si>
  <si>
    <t>IIa</t>
  </si>
  <si>
    <t>IIb</t>
  </si>
  <si>
    <t>IVa</t>
  </si>
  <si>
    <t>IVb</t>
  </si>
  <si>
    <t>IVc</t>
  </si>
  <si>
    <t>VIa</t>
  </si>
  <si>
    <t>VIb</t>
  </si>
  <si>
    <t>VIIa</t>
  </si>
  <si>
    <t>VIIb</t>
  </si>
  <si>
    <t>VIIc</t>
  </si>
  <si>
    <t>IXa</t>
  </si>
  <si>
    <t>IXb</t>
  </si>
  <si>
    <t>IXc</t>
  </si>
  <si>
    <t>Macchine</t>
  </si>
  <si>
    <t>Impianti elettrici in edifici</t>
  </si>
  <si>
    <t>Strade ordinarie</t>
  </si>
  <si>
    <t>Strade di montagna</t>
  </si>
  <si>
    <t>NN</t>
  </si>
  <si>
    <t xml:space="preserve">Fognature urbane ed Acquedotti </t>
  </si>
  <si>
    <t xml:space="preserve">  elettrochimica</t>
  </si>
  <si>
    <t xml:space="preserve">  centrali elettriche</t>
  </si>
  <si>
    <t xml:space="preserve">  linee elettriche</t>
  </si>
  <si>
    <t xml:space="preserve">  Impianti per industria metallurgica</t>
  </si>
  <si>
    <t xml:space="preserve">  Impianti per industria chimica</t>
  </si>
  <si>
    <t xml:space="preserve">  Impianti per industria molitoria</t>
  </si>
  <si>
    <t xml:space="preserve">   bonifiche</t>
  </si>
  <si>
    <t xml:space="preserve">   bonifiche con sollevazione</t>
  </si>
  <si>
    <t xml:space="preserve">   opere di navigazione</t>
  </si>
  <si>
    <t xml:space="preserve">  Ponti di muratura o legname</t>
  </si>
  <si>
    <t xml:space="preserve">  Dighe</t>
  </si>
  <si>
    <t xml:space="preserve">  Gallerie</t>
  </si>
  <si>
    <t>TABELLA   "R"</t>
  </si>
  <si>
    <t xml:space="preserve">Costruzioni di grande semplicità </t>
  </si>
  <si>
    <t>15% =</t>
  </si>
  <si>
    <t>10% =</t>
  </si>
  <si>
    <t>25% =</t>
  </si>
  <si>
    <t>speciale sorveglianza [ magg. su voce "g"]</t>
  </si>
  <si>
    <r>
      <t xml:space="preserve">PER </t>
    </r>
    <r>
      <rPr>
        <u val="single"/>
        <sz val="8"/>
        <color indexed="61"/>
        <rFont val="Arial"/>
        <family val="2"/>
      </rPr>
      <t>SOLUZIONI DISTINTE</t>
    </r>
    <r>
      <rPr>
        <u val="single"/>
        <sz val="8"/>
        <rFont val="Arial"/>
        <family val="2"/>
      </rPr>
      <t xml:space="preserve"> (Art.21)</t>
    </r>
  </si>
  <si>
    <r>
      <t xml:space="preserve">PER </t>
    </r>
    <r>
      <rPr>
        <u val="single"/>
        <sz val="8"/>
        <color indexed="61"/>
        <rFont val="Arial"/>
        <family val="2"/>
      </rPr>
      <t>LAVORI DI TRASFORMAZIONE</t>
    </r>
    <r>
      <rPr>
        <u val="single"/>
        <sz val="8"/>
        <rFont val="Arial"/>
        <family val="2"/>
      </rPr>
      <t xml:space="preserve"> (Art.21)</t>
    </r>
  </si>
  <si>
    <r>
      <t xml:space="preserve">Competenze per </t>
    </r>
    <r>
      <rPr>
        <sz val="8"/>
        <color indexed="61"/>
        <rFont val="Arial"/>
        <family val="2"/>
      </rPr>
      <t>SPECIALE URGENZA</t>
    </r>
  </si>
  <si>
    <t>Classe e categoria (Art.14 TP) =</t>
  </si>
  <si>
    <t xml:space="preserve">a. Progetto di massima </t>
  </si>
  <si>
    <t>b. Preventivo sommario</t>
  </si>
  <si>
    <t>c. Progetto esecutivo</t>
  </si>
  <si>
    <t>d. Preventivo particolareggiato</t>
  </si>
  <si>
    <t>e. Particolari costr. e decor.</t>
  </si>
  <si>
    <t>f. Capitolati e contratti</t>
  </si>
  <si>
    <t>g. Direzione lavori</t>
  </si>
  <si>
    <t>i. Assistenza al collaudo</t>
  </si>
  <si>
    <t>l. Liquidazione</t>
  </si>
  <si>
    <t>N</t>
  </si>
  <si>
    <t/>
  </si>
  <si>
    <t>CALCOLO DELL'ONORARIO BASE</t>
  </si>
  <si>
    <t xml:space="preserve">RIMBORSO DELLE SPESE E DEI COMPENSI ACCESSORI </t>
  </si>
  <si>
    <t xml:space="preserve">Art.13 Conglobamento delle spese di cui all'art.6 </t>
  </si>
  <si>
    <t xml:space="preserve">e compensi accessori di cui all'Art.4 nella </t>
  </si>
  <si>
    <t>MISURA E CONTABILITA' DEI LAVORI (ART.23 A)</t>
  </si>
  <si>
    <t>Onorario base (Tab.E)</t>
  </si>
  <si>
    <t>IA</t>
  </si>
  <si>
    <t>IB</t>
  </si>
  <si>
    <t>IIA</t>
  </si>
  <si>
    <t>IIB</t>
  </si>
  <si>
    <t>IIC</t>
  </si>
  <si>
    <t>V</t>
  </si>
  <si>
    <t>VIII</t>
  </si>
  <si>
    <t>IX</t>
  </si>
  <si>
    <t>a</t>
  </si>
  <si>
    <t>b</t>
  </si>
  <si>
    <t xml:space="preserve">        -</t>
  </si>
  <si>
    <t>c</t>
  </si>
  <si>
    <t>d</t>
  </si>
  <si>
    <t>e</t>
  </si>
  <si>
    <t>f</t>
  </si>
  <si>
    <t>g</t>
  </si>
  <si>
    <t>i</t>
  </si>
  <si>
    <t>MQ</t>
  </si>
  <si>
    <t>N2</t>
  </si>
  <si>
    <t>COEFF</t>
  </si>
  <si>
    <t>SPESE</t>
  </si>
  <si>
    <t>IC</t>
  </si>
  <si>
    <t>ID</t>
  </si>
  <si>
    <t>IE</t>
  </si>
  <si>
    <t>l</t>
  </si>
  <si>
    <t xml:space="preserve">Incremento per incarico parziale   </t>
  </si>
  <si>
    <t>onorario base per contabilità</t>
  </si>
  <si>
    <t xml:space="preserve">ONORARIO PER CONTABILITA' </t>
  </si>
  <si>
    <t xml:space="preserve">Sull' importo a consuntivo delle opere   </t>
  </si>
  <si>
    <t>Percentuale desunta dalla Tabella  "C"  =</t>
  </si>
  <si>
    <t>IF</t>
  </si>
  <si>
    <t>IG</t>
  </si>
  <si>
    <t>IIIA</t>
  </si>
  <si>
    <t>IIIB</t>
  </si>
  <si>
    <t>IIIC</t>
  </si>
  <si>
    <t>IVA</t>
  </si>
  <si>
    <t>IVB</t>
  </si>
  <si>
    <t>IVC</t>
  </si>
  <si>
    <t>VIA</t>
  </si>
  <si>
    <t>VIB</t>
  </si>
  <si>
    <t>VIIA</t>
  </si>
  <si>
    <t>VIIB</t>
  </si>
  <si>
    <t>VIIC</t>
  </si>
  <si>
    <t>IXA</t>
  </si>
  <si>
    <t>IXB</t>
  </si>
  <si>
    <t>IXC</t>
  </si>
  <si>
    <t>richiedenti maggiori prestazioni di assistenza</t>
  </si>
  <si>
    <t>perc.app. su art.(a)(c)(g) di tabella "B" =</t>
  </si>
  <si>
    <t>SPESE PER IL COLLAUDO DI LAVORI E FORNITURE</t>
  </si>
  <si>
    <t>Riduzione per lavori di classe diverse dalla classe I (edilizia)</t>
  </si>
  <si>
    <t>cassa ing. Arch.   2%</t>
  </si>
  <si>
    <t>I.V.A.    20%  sul totale</t>
  </si>
  <si>
    <t>totale parziale</t>
  </si>
  <si>
    <t xml:space="preserve">APPLICAZIONE DELLA %  DA (Tab.A) </t>
  </si>
  <si>
    <t>Totale generale comprensivo di tasse</t>
  </si>
  <si>
    <t>TABELLA   "B"</t>
  </si>
  <si>
    <t>TABELLA   "C"</t>
  </si>
  <si>
    <t>TABELLA   "P"</t>
  </si>
  <si>
    <t>Classe &amp; Categoria</t>
  </si>
  <si>
    <t>ONORARIO PER REDAZIONE DI PERIZIA SUPPLETIVA</t>
  </si>
  <si>
    <t>TARIFFA PER PIANI</t>
  </si>
  <si>
    <t>TARIFFA PER PIANI PARTICOLAREGGIATI E DI ZONA</t>
  </si>
  <si>
    <t>SUPERFICIE OGGETTO DELL'INTERVENTO</t>
  </si>
  <si>
    <t>CUBATURA OGGETTO DELL'INTERVENTO</t>
  </si>
  <si>
    <t>mc.</t>
  </si>
  <si>
    <t>sommano</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</si>
</sst>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quot;\ #,##0;\-&quot;L.&quot;\ #,##0"/>
    <numFmt numFmtId="171" formatCode="_-&quot;L.&quot;\ * #,##0_-;\-&quot;L.&quot;\ * #,##0_-;_-&quot;L.&quot;\ * &quot;-&quot;_-;_-@_-"/>
    <numFmt numFmtId="172" formatCode="_-&quot;L.&quot;\ * #,##0.00_-;\-&quot;L.&quot;\ * #,##0.00_-;_-&quot;L.&quot;\ * &quot;-&quot;??_-;_-@_-"/>
    <numFmt numFmtId="173" formatCode="#,##0_);\(#,##0\)"/>
    <numFmt numFmtId="174" formatCode="&quot;L.&quot;\ #,##0_);\(&quot;L.&quot;\ #,##0\)"/>
    <numFmt numFmtId="175" formatCode="0.0000%"/>
    <numFmt numFmtId="176" formatCode="#,##0.0000000_);\(#,##0.0000000\)"/>
    <numFmt numFmtId="177" formatCode="0.0000000%"/>
    <numFmt numFmtId="178" formatCode="#,##0.0000_);\(#,##0.0000\)"/>
    <numFmt numFmtId="179" formatCode="0.0000"/>
    <numFmt numFmtId="180" formatCode="0.0"/>
    <numFmt numFmtId="181" formatCode="&quot;L.&quot;\ #,##0"/>
    <numFmt numFmtId="182" formatCode="_-* #,##0.00_-;\-* #,##0.00_-;_-* &quot;-&quot;_-;_-@_-"/>
    <numFmt numFmtId="183" formatCode="_-* #,##0.000_-;\-* #,##0.000_-;_-* &quot;-&quot;_-;_-@_-"/>
    <numFmt numFmtId="184" formatCode="_-* #,##0.0000_-;\-* #,##0.0000_-;_-* &quot;-&quot;_-;_-@_-"/>
    <numFmt numFmtId="185" formatCode="0.000000"/>
    <numFmt numFmtId="186" formatCode="#,##0_ ;[Red]\-#,##0\ "/>
    <numFmt numFmtId="187" formatCode="_-* #,##0.0000_-;\-* #,##0.0000_-;_-* &quot;-&quot;????_-;_-@_-"/>
    <numFmt numFmtId="188" formatCode="_-* #,##0.00000_-;\-* #,##0.00000_-;_-* &quot;-&quot;_-;_-@_-"/>
    <numFmt numFmtId="189" formatCode="0.000000%"/>
    <numFmt numFmtId="190" formatCode="0.00_ ;[Red]\-0.00\ "/>
    <numFmt numFmtId="191" formatCode="0.00000000"/>
    <numFmt numFmtId="192" formatCode="_-[$€-2]\ * #,##0.00_-;\-[$€-2]\ * #,##0.00_-;_-[$€-2]\ * &quot;-&quot;??_-"/>
    <numFmt numFmtId="193" formatCode="_-[$€-2]\ * #,##0.00_-;\-[$€-2]\ * #,##0.00_-;_-[$€-2]\ * &quot;-&quot;??_-;_-@_-"/>
    <numFmt numFmtId="194" formatCode="0.000000000000"/>
    <numFmt numFmtId="195" formatCode="_-* #,##0.00_-;\-* #,##0.00_-;_-* &quot;-&quot;????_-;_-@_-"/>
    <numFmt numFmtId="196" formatCode="#,##0.00\ [$€-1007]"/>
    <numFmt numFmtId="197" formatCode="_-[$€-2]\ * #,##0.0000_-;\-[$€-2]\ * #,##0.0000_-;_-[$€-2]\ * &quot;-&quot;????_-;_-@_-"/>
    <numFmt numFmtId="198" formatCode="&quot;Sì&quot;;&quot;Sì&quot;;&quot;No&quot;"/>
    <numFmt numFmtId="199" formatCode="&quot;Vero&quot;;&quot;Vero&quot;;&quot;Falso&quot;"/>
    <numFmt numFmtId="200" formatCode="&quot;Attivo&quot;;&quot;Attivo&quot;;&quot;Disattivo&quot;"/>
    <numFmt numFmtId="201" formatCode="[$€-2]\ #.##000_);[Red]\([$€-2]\ #.##000\)"/>
    <numFmt numFmtId="202" formatCode="_-* #,##0.0_-;\-* #,##0.0_-;_-* &quot;-&quot;??_-;_-@_-"/>
    <numFmt numFmtId="203" formatCode="_-* #,##0_-;\-* #,##0_-;_-* &quot;-&quot;??_-;_-@_-"/>
    <numFmt numFmtId="204" formatCode="_-* #,##0.000_-;\-* #,##0.000_-;_-* &quot;-&quot;??_-;_-@_-"/>
    <numFmt numFmtId="205" formatCode="_-* #,##0.0000_-;\-* #,##0.0000_-;_-* &quot;-&quot;??_-;_-@_-"/>
    <numFmt numFmtId="206" formatCode="_-* #,##0.00000_-;\-* #,##0.00000_-;_-* &quot;-&quot;??_-;_-@_-"/>
    <numFmt numFmtId="207" formatCode="_-* #,##0.000000_-;\-* #,##0.000000_-;_-* &quot;-&quot;??_-;_-@_-"/>
    <numFmt numFmtId="208" formatCode="_-* #,##0.0000000_-;\-* #,##0.0000000_-;_-* &quot;-&quot;??_-;_-@_-"/>
    <numFmt numFmtId="209" formatCode="0.0%"/>
    <numFmt numFmtId="210" formatCode="0.000%"/>
    <numFmt numFmtId="211" formatCode="_-* #,##0.0000000_-;\-* #,##0.0000000_-;_-* &quot;-&quot;???????_-;_-@_-"/>
    <numFmt numFmtId="212" formatCode="_-* #,##0.00000_-;\-* #,##0.00000_-;_-* &quot;-&quot;????_-;_-@_-"/>
    <numFmt numFmtId="213" formatCode="_-* #,##0.000_-;\-* #,##0.000_-;_-* &quot;-&quot;???_-;_-@_-"/>
    <numFmt numFmtId="214" formatCode="0.000"/>
  </numFmts>
  <fonts count="71">
    <font>
      <sz val="10"/>
      <name val="Arial"/>
      <family val="0"/>
    </font>
    <font>
      <sz val="10"/>
      <name val="Courier"/>
      <family val="0"/>
    </font>
    <font>
      <sz val="8"/>
      <name val="Arial"/>
      <family val="2"/>
    </font>
    <font>
      <b/>
      <sz val="8"/>
      <name val="Arial"/>
      <family val="2"/>
    </font>
    <font>
      <b/>
      <sz val="10"/>
      <name val="Arial"/>
      <family val="2"/>
    </font>
    <font>
      <u val="single"/>
      <sz val="8"/>
      <name val="Arial"/>
      <family val="2"/>
    </font>
    <font>
      <b/>
      <sz val="12"/>
      <name val="Arial"/>
      <family val="2"/>
    </font>
    <font>
      <i/>
      <sz val="8"/>
      <name val="Arial"/>
      <family val="2"/>
    </font>
    <font>
      <i/>
      <sz val="10"/>
      <name val="Arial"/>
      <family val="2"/>
    </font>
    <font>
      <sz val="8"/>
      <color indexed="10"/>
      <name val="Arial"/>
      <family val="2"/>
    </font>
    <font>
      <sz val="8"/>
      <color indexed="12"/>
      <name val="Arial"/>
      <family val="2"/>
    </font>
    <font>
      <sz val="8"/>
      <name val="Tahoma"/>
      <family val="0"/>
    </font>
    <font>
      <b/>
      <sz val="8"/>
      <name val="Tahoma"/>
      <family val="2"/>
    </font>
    <font>
      <sz val="12"/>
      <name val="Arial"/>
      <family val="2"/>
    </font>
    <font>
      <b/>
      <u val="single"/>
      <sz val="10"/>
      <name val="Arial"/>
      <family val="2"/>
    </font>
    <font>
      <b/>
      <sz val="11"/>
      <name val="Arial"/>
      <family val="2"/>
    </font>
    <font>
      <b/>
      <sz val="8"/>
      <color indexed="62"/>
      <name val="Arial"/>
      <family val="2"/>
    </font>
    <font>
      <sz val="8"/>
      <color indexed="61"/>
      <name val="Arial"/>
      <family val="2"/>
    </font>
    <font>
      <u val="single"/>
      <sz val="8"/>
      <color indexed="61"/>
      <name val="Arial"/>
      <family val="2"/>
    </font>
    <font>
      <b/>
      <sz val="10"/>
      <name val="Courier"/>
      <family val="0"/>
    </font>
    <font>
      <sz val="12"/>
      <color indexed="10"/>
      <name val="Arial"/>
      <family val="2"/>
    </font>
    <font>
      <sz val="10"/>
      <color indexed="10"/>
      <name val="Arial"/>
      <family val="2"/>
    </font>
    <font>
      <sz val="8"/>
      <color indexed="16"/>
      <name val="Arial"/>
      <family val="2"/>
    </font>
    <font>
      <b/>
      <sz val="14"/>
      <name val="Arial"/>
      <family val="2"/>
    </font>
    <font>
      <b/>
      <u val="single"/>
      <sz val="8"/>
      <name val="Arial"/>
      <family val="2"/>
    </font>
    <font>
      <u val="single"/>
      <sz val="10"/>
      <color indexed="12"/>
      <name val="Arial"/>
      <family val="0"/>
    </font>
    <font>
      <u val="single"/>
      <sz val="10"/>
      <color indexed="36"/>
      <name val="Arial"/>
      <family val="0"/>
    </font>
    <font>
      <sz val="8"/>
      <color indexed="9"/>
      <name val="Arial"/>
      <family val="2"/>
    </font>
    <font>
      <b/>
      <sz val="8"/>
      <color indexed="9"/>
      <name val="Arial"/>
      <family val="2"/>
    </font>
    <font>
      <sz val="10"/>
      <color indexed="9"/>
      <name val="Arial"/>
      <family val="2"/>
    </font>
    <font>
      <sz val="9"/>
      <name val="Arial"/>
      <family val="2"/>
    </font>
    <font>
      <b/>
      <sz val="9"/>
      <name val="Arial"/>
      <family val="2"/>
    </font>
    <font>
      <sz val="9"/>
      <color indexed="10"/>
      <name val="Arial"/>
      <family val="2"/>
    </font>
    <font>
      <b/>
      <sz val="12"/>
      <color indexed="10"/>
      <name val="Arial"/>
      <family val="2"/>
    </font>
    <font>
      <b/>
      <sz val="10"/>
      <color indexed="10"/>
      <name val="Arial"/>
      <family val="2"/>
    </font>
    <font>
      <sz val="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b/>
      <sz val="14"/>
      <color indexed="8"/>
      <name val="Arial"/>
      <family val="0"/>
    </font>
    <font>
      <sz val="14"/>
      <color indexed="8"/>
      <name val="Arial"/>
      <family val="0"/>
    </font>
    <font>
      <u val="single"/>
      <sz val="11"/>
      <name val="Arial"/>
      <family val="2"/>
    </font>
    <font>
      <b/>
      <sz val="18"/>
      <name val="Arial"/>
      <family val="2"/>
    </font>
    <font>
      <b/>
      <sz val="8"/>
      <color indexed="16"/>
      <name val="Arial"/>
      <family val="2"/>
    </font>
    <font>
      <b/>
      <sz val="8"/>
      <color indexed="60"/>
      <name val="Arial"/>
      <family val="2"/>
    </font>
    <font>
      <b/>
      <sz val="8"/>
      <color indexed="10"/>
      <name val="Arial"/>
      <family val="2"/>
    </font>
    <font>
      <b/>
      <sz val="8"/>
      <color indexed="12"/>
      <name val="Arial"/>
      <family val="2"/>
    </font>
    <font>
      <strike/>
      <sz val="8"/>
      <name val="Arial"/>
      <family val="2"/>
    </font>
    <font>
      <b/>
      <strike/>
      <sz val="8"/>
      <name val="Arial"/>
      <family val="2"/>
    </font>
    <font>
      <b/>
      <sz val="8"/>
      <name val="Arial Narrow"/>
      <family val="2"/>
    </font>
    <font>
      <b/>
      <sz val="20"/>
      <name val="Arial"/>
      <family val="2"/>
    </font>
    <font>
      <b/>
      <i/>
      <sz val="8"/>
      <color indexed="10"/>
      <name val="Arial"/>
      <family val="2"/>
    </font>
    <font>
      <b/>
      <sz val="10"/>
      <name val="Arial Narrow"/>
      <family val="2"/>
    </font>
    <font>
      <b/>
      <sz val="9"/>
      <name val="Arial Narrow"/>
      <family val="2"/>
    </font>
    <font>
      <b/>
      <sz val="11"/>
      <name val="Arial Narrow"/>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40"/>
        <bgColor indexed="64"/>
      </patternFill>
    </fill>
    <fill>
      <patternFill patternType="solid">
        <fgColor indexed="15"/>
        <bgColor indexed="64"/>
      </patternFill>
    </fill>
    <fill>
      <patternFill patternType="solid">
        <fgColor indexed="48"/>
        <bgColor indexed="64"/>
      </patternFill>
    </fill>
    <fill>
      <patternFill patternType="solid">
        <fgColor indexed="8"/>
        <bgColor indexed="64"/>
      </patternFill>
    </fill>
    <fill>
      <patternFill patternType="solid">
        <fgColor indexed="63"/>
        <bgColor indexed="64"/>
      </patternFill>
    </fill>
    <fill>
      <patternFill patternType="solid">
        <fgColor indexed="19"/>
        <bgColor indexed="64"/>
      </patternFill>
    </fill>
    <fill>
      <patternFill patternType="solid">
        <fgColor indexed="14"/>
        <bgColor indexed="64"/>
      </patternFill>
    </fill>
  </fills>
  <borders count="7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medium"/>
    </border>
    <border>
      <left>
        <color indexed="63"/>
      </left>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color indexed="63"/>
      </right>
      <top style="medium"/>
      <bottom style="thin"/>
    </border>
    <border>
      <left>
        <color indexed="63"/>
      </left>
      <right style="medium"/>
      <top style="medium"/>
      <bottom style="thin"/>
    </border>
    <border>
      <left style="thin"/>
      <right style="medium"/>
      <top>
        <color indexed="63"/>
      </top>
      <bottom>
        <color indexed="63"/>
      </bottom>
    </border>
    <border>
      <left style="thin"/>
      <right style="medium"/>
      <top style="thin"/>
      <bottom style="thin"/>
    </border>
    <border>
      <left>
        <color indexed="63"/>
      </left>
      <right style="medium"/>
      <top>
        <color indexed="63"/>
      </top>
      <bottom style="double"/>
    </border>
    <border>
      <left style="medium"/>
      <right>
        <color indexed="63"/>
      </right>
      <top style="thin"/>
      <bottom style="thin"/>
    </border>
    <border>
      <left style="thin"/>
      <right style="medium"/>
      <top>
        <color indexed="63"/>
      </top>
      <bottom style="mediu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thin"/>
      <top style="thin"/>
      <bottom style="thin"/>
    </border>
    <border>
      <left style="thin"/>
      <right style="medium"/>
      <top>
        <color indexed="63"/>
      </top>
      <bottom style="thin"/>
    </border>
    <border>
      <left style="thin"/>
      <right style="medium"/>
      <top style="thin"/>
      <bottom style="medium"/>
    </border>
    <border>
      <left style="medium"/>
      <right style="thin"/>
      <top>
        <color indexed="63"/>
      </top>
      <bottom>
        <color indexed="63"/>
      </bottom>
    </border>
    <border>
      <left>
        <color indexed="63"/>
      </left>
      <right style="medium"/>
      <top style="medium"/>
      <bottom style="medium"/>
    </border>
    <border>
      <left style="medium"/>
      <right style="medium"/>
      <top style="medium"/>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double"/>
      <bottom style="thin"/>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thin"/>
    </border>
    <border>
      <left>
        <color indexed="63"/>
      </left>
      <right>
        <color indexed="63"/>
      </right>
      <top style="double"/>
      <bottom style="medium"/>
    </border>
    <border>
      <left>
        <color indexed="63"/>
      </left>
      <right style="thin"/>
      <top style="double"/>
      <bottom style="medium"/>
    </border>
    <border>
      <left>
        <color indexed="63"/>
      </left>
      <right>
        <color indexed="63"/>
      </right>
      <top style="double"/>
      <bottom>
        <color indexed="63"/>
      </bottom>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45" fillId="16" borderId="1" applyNumberFormat="0" applyAlignment="0" applyProtection="0"/>
    <xf numFmtId="0" fontId="46" fillId="0" borderId="2" applyNumberFormat="0" applyFill="0" applyAlignment="0" applyProtection="0"/>
    <xf numFmtId="0" fontId="47" fillId="17" borderId="3"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21" borderId="0" applyNumberFormat="0" applyBorder="0" applyAlignment="0" applyProtection="0"/>
    <xf numFmtId="192" fontId="0" fillId="0" borderId="0" applyFont="0" applyFill="0" applyBorder="0" applyAlignment="0" applyProtection="0"/>
    <xf numFmtId="0" fontId="43" fillId="7" borderId="1" applyNumberFormat="0" applyAlignment="0" applyProtection="0"/>
    <xf numFmtId="41" fontId="0" fillId="0" borderId="0" applyFont="0" applyFill="0" applyBorder="0" applyAlignment="0" applyProtection="0"/>
    <xf numFmtId="0" fontId="42" fillId="22" borderId="0" applyNumberFormat="0" applyBorder="0" applyAlignment="0" applyProtection="0"/>
    <xf numFmtId="0" fontId="0" fillId="23" borderId="4" applyNumberFormat="0" applyFont="0" applyAlignment="0" applyProtection="0"/>
    <xf numFmtId="0" fontId="44" fillId="16"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50" fillId="0" borderId="9" applyNumberFormat="0" applyFill="0" applyAlignment="0" applyProtection="0"/>
    <xf numFmtId="0" fontId="41" fillId="3" borderId="0" applyNumberFormat="0" applyBorder="0" applyAlignment="0" applyProtection="0"/>
    <xf numFmtId="0" fontId="40" fillId="4" borderId="0" applyNumberFormat="0" applyBorder="0" applyAlignment="0" applyProtection="0"/>
    <xf numFmtId="172"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cellStyleXfs>
  <cellXfs count="939">
    <xf numFmtId="0" fontId="0" fillId="0" borderId="0" xfId="0" applyAlignment="1">
      <alignment/>
    </xf>
    <xf numFmtId="173" fontId="2" fillId="0" borderId="0" xfId="0" applyNumberFormat="1" applyFont="1" applyAlignment="1" applyProtection="1">
      <alignment horizontal="left" wrapText="1"/>
      <protection locked="0"/>
    </xf>
    <xf numFmtId="173" fontId="2" fillId="0" borderId="0" xfId="0" applyNumberFormat="1" applyFont="1" applyAlignment="1" applyProtection="1">
      <alignment/>
      <protection locked="0"/>
    </xf>
    <xf numFmtId="174" fontId="2" fillId="0" borderId="0" xfId="0" applyNumberFormat="1" applyFont="1" applyAlignment="1" applyProtection="1">
      <alignment/>
      <protection locked="0"/>
    </xf>
    <xf numFmtId="173" fontId="2" fillId="0" borderId="0" xfId="0" applyNumberFormat="1" applyFont="1" applyAlignment="1" applyProtection="1">
      <alignment wrapText="1"/>
      <protection locked="0"/>
    </xf>
    <xf numFmtId="173" fontId="2" fillId="0" borderId="0" xfId="0" applyNumberFormat="1" applyFont="1" applyAlignment="1" applyProtection="1">
      <alignment horizontal="left"/>
      <protection locked="0"/>
    </xf>
    <xf numFmtId="0" fontId="2" fillId="0" borderId="0" xfId="0" applyFont="1" applyAlignment="1" applyProtection="1">
      <alignment/>
      <protection locked="0"/>
    </xf>
    <xf numFmtId="9" fontId="2" fillId="0" borderId="0" xfId="0" applyNumberFormat="1" applyFont="1" applyAlignment="1" applyProtection="1">
      <alignment/>
      <protection locked="0"/>
    </xf>
    <xf numFmtId="10" fontId="2" fillId="0" borderId="0" xfId="0" applyNumberFormat="1" applyFont="1" applyAlignment="1" applyProtection="1">
      <alignment/>
      <protection locked="0"/>
    </xf>
    <xf numFmtId="0" fontId="2" fillId="0" borderId="0" xfId="0" applyFont="1" applyAlignment="1" applyProtection="1">
      <alignment horizontal="left"/>
      <protection locked="0"/>
    </xf>
    <xf numFmtId="173" fontId="2" fillId="0" borderId="0" xfId="0" applyNumberFormat="1" applyFont="1" applyAlignment="1" applyProtection="1">
      <alignment horizontal="right"/>
      <protection locked="0"/>
    </xf>
    <xf numFmtId="175" fontId="2" fillId="0" borderId="0" xfId="0" applyNumberFormat="1" applyFont="1" applyAlignment="1" applyProtection="1">
      <alignment/>
      <protection locked="0"/>
    </xf>
    <xf numFmtId="173" fontId="2" fillId="0" borderId="0" xfId="0" applyNumberFormat="1" applyFont="1" applyAlignment="1" applyProtection="1">
      <alignment horizontal="center"/>
      <protection locked="0"/>
    </xf>
    <xf numFmtId="176" fontId="2" fillId="0" borderId="0" xfId="0" applyNumberFormat="1" applyFont="1" applyAlignment="1" applyProtection="1">
      <alignment/>
      <protection locked="0"/>
    </xf>
    <xf numFmtId="177" fontId="2" fillId="0" borderId="0" xfId="0" applyNumberFormat="1" applyFont="1" applyAlignment="1" applyProtection="1">
      <alignment/>
      <protection locked="0"/>
    </xf>
    <xf numFmtId="9" fontId="2" fillId="0" borderId="0" xfId="0" applyNumberFormat="1" applyFont="1" applyAlignment="1" applyProtection="1">
      <alignment horizontal="left"/>
      <protection locked="0"/>
    </xf>
    <xf numFmtId="173" fontId="2" fillId="0" borderId="0" xfId="0" applyNumberFormat="1" applyFont="1" applyBorder="1" applyAlignment="1" applyProtection="1">
      <alignment/>
      <protection locked="0"/>
    </xf>
    <xf numFmtId="173" fontId="2" fillId="0" borderId="10" xfId="0" applyNumberFormat="1" applyFont="1" applyBorder="1" applyAlignment="1" applyProtection="1">
      <alignment horizontal="left" wrapText="1"/>
      <protection locked="0"/>
    </xf>
    <xf numFmtId="173" fontId="2" fillId="0" borderId="11" xfId="0" applyNumberFormat="1" applyFont="1" applyBorder="1" applyAlignment="1" applyProtection="1">
      <alignment/>
      <protection locked="0"/>
    </xf>
    <xf numFmtId="0" fontId="2" fillId="0" borderId="0" xfId="0" applyFont="1" applyBorder="1" applyAlignment="1" applyProtection="1">
      <alignment/>
      <protection locked="0"/>
    </xf>
    <xf numFmtId="9" fontId="2" fillId="0" borderId="0" xfId="0" applyNumberFormat="1" applyFont="1" applyBorder="1" applyAlignment="1" applyProtection="1">
      <alignment/>
      <protection locked="0"/>
    </xf>
    <xf numFmtId="179" fontId="1" fillId="0" borderId="0" xfId="0" applyNumberFormat="1" applyFont="1" applyAlignment="1" applyProtection="1">
      <alignment/>
      <protection locked="0"/>
    </xf>
    <xf numFmtId="179" fontId="1" fillId="0" borderId="0" xfId="0" applyNumberFormat="1" applyFont="1" applyAlignment="1" applyProtection="1">
      <alignment horizontal="left"/>
      <protection locked="0"/>
    </xf>
    <xf numFmtId="179" fontId="1" fillId="0" borderId="0" xfId="0" applyNumberFormat="1" applyFont="1" applyAlignment="1" applyProtection="1">
      <alignment horizontal="right"/>
      <protection locked="0"/>
    </xf>
    <xf numFmtId="1" fontId="1" fillId="0" borderId="0" xfId="0" applyNumberFormat="1" applyFont="1" applyAlignment="1" applyProtection="1">
      <alignment/>
      <protection locked="0"/>
    </xf>
    <xf numFmtId="1" fontId="1" fillId="0" borderId="0" xfId="0" applyNumberFormat="1" applyFont="1" applyAlignment="1" applyProtection="1">
      <alignment horizontal="right"/>
      <protection locked="0"/>
    </xf>
    <xf numFmtId="41" fontId="2" fillId="0" borderId="11" xfId="0" applyNumberFormat="1" applyFont="1" applyBorder="1" applyAlignment="1" applyProtection="1">
      <alignment/>
      <protection locked="0"/>
    </xf>
    <xf numFmtId="171" fontId="2" fillId="0" borderId="11" xfId="0" applyNumberFormat="1" applyFont="1" applyBorder="1" applyAlignment="1" applyProtection="1">
      <alignment/>
      <protection locked="0"/>
    </xf>
    <xf numFmtId="173" fontId="2" fillId="0" borderId="0" xfId="0" applyNumberFormat="1" applyFont="1" applyBorder="1" applyAlignment="1" applyProtection="1">
      <alignment horizontal="left" wrapText="1"/>
      <protection locked="0"/>
    </xf>
    <xf numFmtId="41" fontId="2" fillId="0" borderId="0" xfId="0" applyNumberFormat="1" applyFont="1" applyBorder="1" applyAlignment="1" applyProtection="1">
      <alignment/>
      <protection locked="0"/>
    </xf>
    <xf numFmtId="171" fontId="3" fillId="0" borderId="11" xfId="0" applyNumberFormat="1" applyFont="1" applyBorder="1" applyAlignment="1" applyProtection="1">
      <alignment/>
      <protection locked="0"/>
    </xf>
    <xf numFmtId="0" fontId="2" fillId="0" borderId="10" xfId="0" applyFont="1" applyBorder="1" applyAlignment="1" applyProtection="1">
      <alignment/>
      <protection locked="0"/>
    </xf>
    <xf numFmtId="179" fontId="0" fillId="0" borderId="0" xfId="0" applyNumberFormat="1" applyFont="1" applyAlignment="1" applyProtection="1">
      <alignment/>
      <protection locked="0"/>
    </xf>
    <xf numFmtId="0" fontId="2" fillId="0" borderId="11" xfId="0" applyFont="1" applyBorder="1" applyAlignment="1" applyProtection="1">
      <alignment/>
      <protection locked="0"/>
    </xf>
    <xf numFmtId="0" fontId="2" fillId="0" borderId="12" xfId="0" applyFont="1" applyBorder="1" applyAlignment="1" applyProtection="1">
      <alignment/>
      <protection locked="0"/>
    </xf>
    <xf numFmtId="171" fontId="3" fillId="0" borderId="13" xfId="0" applyNumberFormat="1" applyFont="1" applyBorder="1" applyAlignment="1" applyProtection="1">
      <alignment/>
      <protection locked="0"/>
    </xf>
    <xf numFmtId="0" fontId="2" fillId="0" borderId="0" xfId="0" applyFont="1" applyAlignment="1" applyProtection="1">
      <alignment wrapText="1"/>
      <protection locked="0"/>
    </xf>
    <xf numFmtId="0" fontId="2" fillId="0" borderId="0" xfId="0" applyFont="1" applyBorder="1" applyAlignment="1" applyProtection="1">
      <alignment wrapText="1"/>
      <protection locked="0"/>
    </xf>
    <xf numFmtId="0" fontId="2" fillId="0" borderId="13" xfId="0" applyFont="1" applyBorder="1" applyAlignment="1" applyProtection="1">
      <alignment/>
      <protection locked="0"/>
    </xf>
    <xf numFmtId="41" fontId="2" fillId="0" borderId="0" xfId="46" applyFont="1" applyBorder="1" applyAlignment="1" applyProtection="1">
      <alignment/>
      <protection locked="0"/>
    </xf>
    <xf numFmtId="0" fontId="0" fillId="0" borderId="0" xfId="0" applyFont="1" applyAlignment="1" applyProtection="1">
      <alignment/>
      <protection locked="0"/>
    </xf>
    <xf numFmtId="173" fontId="0" fillId="0" borderId="10" xfId="0" applyNumberFormat="1" applyFont="1" applyBorder="1" applyAlignment="1" applyProtection="1">
      <alignment horizontal="left" wrapText="1"/>
      <protection locked="0"/>
    </xf>
    <xf numFmtId="173" fontId="0" fillId="0" borderId="0" xfId="0" applyNumberFormat="1" applyFont="1" applyBorder="1" applyAlignment="1" applyProtection="1">
      <alignment/>
      <protection locked="0"/>
    </xf>
    <xf numFmtId="173" fontId="0" fillId="0" borderId="0" xfId="0" applyNumberFormat="1" applyFont="1" applyBorder="1" applyAlignment="1" applyProtection="1">
      <alignment horizontal="left" wrapText="1"/>
      <protection locked="0"/>
    </xf>
    <xf numFmtId="41" fontId="0" fillId="0" borderId="0" xfId="46" applyFont="1" applyAlignment="1" applyProtection="1">
      <alignment/>
      <protection locked="0"/>
    </xf>
    <xf numFmtId="173" fontId="4" fillId="0" borderId="10" xfId="0" applyNumberFormat="1" applyFont="1" applyBorder="1" applyAlignment="1" applyProtection="1">
      <alignment horizontal="left" wrapText="1"/>
      <protection locked="0"/>
    </xf>
    <xf numFmtId="179" fontId="8" fillId="0" borderId="0" xfId="0" applyNumberFormat="1" applyFont="1" applyBorder="1" applyAlignment="1" applyProtection="1">
      <alignment horizontal="right"/>
      <protection locked="0"/>
    </xf>
    <xf numFmtId="41" fontId="4" fillId="0" borderId="0" xfId="46" applyFont="1" applyBorder="1" applyAlignment="1" applyProtection="1">
      <alignment horizontal="right"/>
      <protection locked="0"/>
    </xf>
    <xf numFmtId="173" fontId="4" fillId="0" borderId="0" xfId="0" applyNumberFormat="1" applyFont="1" applyBorder="1" applyAlignment="1" applyProtection="1">
      <alignment horizontal="left" wrapText="1"/>
      <protection locked="0"/>
    </xf>
    <xf numFmtId="0" fontId="4" fillId="0" borderId="0" xfId="0" applyFont="1" applyBorder="1" applyAlignment="1" applyProtection="1">
      <alignment horizontal="center"/>
      <protection locked="0"/>
    </xf>
    <xf numFmtId="37" fontId="4" fillId="0" borderId="0" xfId="0" applyNumberFormat="1" applyFont="1" applyBorder="1" applyAlignment="1" applyProtection="1">
      <alignment/>
      <protection locked="0"/>
    </xf>
    <xf numFmtId="173" fontId="8" fillId="0" borderId="0" xfId="0" applyNumberFormat="1" applyFont="1" applyBorder="1" applyAlignment="1" applyProtection="1">
      <alignment horizontal="center"/>
      <protection locked="0"/>
    </xf>
    <xf numFmtId="41" fontId="4" fillId="0" borderId="0" xfId="0" applyNumberFormat="1" applyFont="1" applyBorder="1" applyAlignment="1" applyProtection="1">
      <alignment/>
      <protection locked="0"/>
    </xf>
    <xf numFmtId="173" fontId="4" fillId="0" borderId="0" xfId="0" applyNumberFormat="1" applyFont="1" applyBorder="1" applyAlignment="1" applyProtection="1">
      <alignment/>
      <protection locked="0"/>
    </xf>
    <xf numFmtId="179" fontId="8" fillId="0" borderId="0" xfId="0" applyNumberFormat="1" applyFont="1" applyBorder="1" applyAlignment="1" applyProtection="1">
      <alignment/>
      <protection locked="0"/>
    </xf>
    <xf numFmtId="0" fontId="0" fillId="0" borderId="0" xfId="0" applyFont="1" applyBorder="1" applyAlignment="1" applyProtection="1">
      <alignment horizontal="center"/>
      <protection locked="0"/>
    </xf>
    <xf numFmtId="0" fontId="0" fillId="0" borderId="0" xfId="0" applyFont="1" applyBorder="1" applyAlignment="1" applyProtection="1">
      <alignment wrapText="1"/>
      <protection locked="0"/>
    </xf>
    <xf numFmtId="0" fontId="0" fillId="0" borderId="0" xfId="0" applyFont="1" applyBorder="1" applyAlignment="1" applyProtection="1">
      <alignment/>
      <protection locked="0"/>
    </xf>
    <xf numFmtId="173" fontId="4" fillId="0" borderId="12" xfId="0" applyNumberFormat="1" applyFont="1" applyBorder="1" applyAlignment="1" applyProtection="1">
      <alignment horizontal="left"/>
      <protection locked="0"/>
    </xf>
    <xf numFmtId="184" fontId="0" fillId="0" borderId="0" xfId="0" applyNumberFormat="1" applyFont="1" applyBorder="1" applyAlignment="1" applyProtection="1">
      <alignment/>
      <protection locked="0"/>
    </xf>
    <xf numFmtId="41" fontId="0" fillId="0" borderId="0" xfId="46" applyFont="1" applyAlignment="1" applyProtection="1">
      <alignment horizontal="right"/>
      <protection locked="0"/>
    </xf>
    <xf numFmtId="171" fontId="4" fillId="0" borderId="0" xfId="0" applyNumberFormat="1" applyFont="1" applyBorder="1" applyAlignment="1" applyProtection="1">
      <alignment/>
      <protection locked="0"/>
    </xf>
    <xf numFmtId="173" fontId="4" fillId="0" borderId="10" xfId="0" applyNumberFormat="1" applyFont="1" applyBorder="1" applyAlignment="1" applyProtection="1">
      <alignment horizontal="right" wrapText="1"/>
      <protection locked="0"/>
    </xf>
    <xf numFmtId="0" fontId="4" fillId="0" borderId="0" xfId="0" applyFont="1" applyBorder="1" applyAlignment="1" applyProtection="1">
      <alignment horizontal="right"/>
      <protection locked="0"/>
    </xf>
    <xf numFmtId="171" fontId="4" fillId="0" borderId="0" xfId="46" applyNumberFormat="1" applyFont="1" applyBorder="1" applyAlignment="1" applyProtection="1">
      <alignment horizontal="right"/>
      <protection locked="0"/>
    </xf>
    <xf numFmtId="173" fontId="0" fillId="0" borderId="10" xfId="0" applyNumberFormat="1" applyFont="1" applyBorder="1" applyAlignment="1" applyProtection="1">
      <alignment horizontal="left"/>
      <protection locked="0"/>
    </xf>
    <xf numFmtId="173" fontId="0" fillId="0" borderId="0" xfId="0" applyNumberFormat="1" applyFont="1" applyBorder="1" applyAlignment="1" applyProtection="1">
      <alignment horizontal="left"/>
      <protection locked="0"/>
    </xf>
    <xf numFmtId="173" fontId="4" fillId="0" borderId="10" xfId="0" applyNumberFormat="1" applyFont="1" applyBorder="1" applyAlignment="1" applyProtection="1">
      <alignment horizontal="center" vertical="center" wrapText="1"/>
      <protection locked="0"/>
    </xf>
    <xf numFmtId="173" fontId="4" fillId="0" borderId="0" xfId="0" applyNumberFormat="1" applyFont="1" applyBorder="1" applyAlignment="1" applyProtection="1">
      <alignment horizontal="center" vertical="center" wrapText="1"/>
      <protection locked="0"/>
    </xf>
    <xf numFmtId="41" fontId="0" fillId="0" borderId="0" xfId="0" applyNumberFormat="1" applyFont="1" applyBorder="1" applyAlignment="1" applyProtection="1">
      <alignment/>
      <protection locked="0"/>
    </xf>
    <xf numFmtId="189" fontId="0" fillId="0" borderId="0" xfId="50" applyNumberFormat="1" applyFont="1" applyBorder="1" applyAlignment="1" applyProtection="1">
      <alignment horizontal="center"/>
      <protection locked="0"/>
    </xf>
    <xf numFmtId="41" fontId="0" fillId="0" borderId="0" xfId="50" applyNumberFormat="1" applyFont="1" applyBorder="1" applyAlignment="1" applyProtection="1">
      <alignment horizontal="center"/>
      <protection locked="0"/>
    </xf>
    <xf numFmtId="173" fontId="0" fillId="0" borderId="12" xfId="0" applyNumberFormat="1" applyFont="1" applyBorder="1" applyAlignment="1" applyProtection="1">
      <alignment horizontal="left" wrapText="1"/>
      <protection locked="0"/>
    </xf>
    <xf numFmtId="179" fontId="0" fillId="0" borderId="0" xfId="0" applyNumberFormat="1" applyFont="1" applyAlignment="1" applyProtection="1">
      <alignment/>
      <protection locked="0"/>
    </xf>
    <xf numFmtId="10" fontId="0" fillId="0" borderId="0" xfId="46" applyNumberFormat="1" applyFont="1" applyBorder="1" applyAlignment="1" applyProtection="1">
      <alignment horizontal="right"/>
      <protection locked="0"/>
    </xf>
    <xf numFmtId="174" fontId="4" fillId="0" borderId="0" xfId="0" applyNumberFormat="1" applyFont="1" applyBorder="1" applyAlignment="1" applyProtection="1">
      <alignment/>
      <protection locked="0"/>
    </xf>
    <xf numFmtId="0" fontId="0" fillId="0" borderId="10" xfId="0" applyFont="1" applyBorder="1" applyAlignment="1" applyProtection="1">
      <alignment wrapText="1"/>
      <protection locked="0"/>
    </xf>
    <xf numFmtId="41" fontId="0" fillId="0" borderId="0" xfId="46" applyFont="1" applyBorder="1" applyAlignment="1" applyProtection="1">
      <alignment/>
      <protection locked="0"/>
    </xf>
    <xf numFmtId="173" fontId="4" fillId="0" borderId="10" xfId="0" applyNumberFormat="1" applyFont="1" applyBorder="1" applyAlignment="1" applyProtection="1">
      <alignment horizontal="left"/>
      <protection locked="0"/>
    </xf>
    <xf numFmtId="173" fontId="4" fillId="0" borderId="0" xfId="0" applyNumberFormat="1" applyFont="1" applyBorder="1" applyAlignment="1" applyProtection="1">
      <alignment horizontal="left"/>
      <protection locked="0"/>
    </xf>
    <xf numFmtId="3" fontId="4" fillId="0" borderId="0" xfId="0" applyNumberFormat="1" applyFont="1" applyBorder="1" applyAlignment="1" applyProtection="1">
      <alignment/>
      <protection locked="0"/>
    </xf>
    <xf numFmtId="41" fontId="0" fillId="0" borderId="0" xfId="46" applyFont="1" applyBorder="1" applyAlignment="1" applyProtection="1">
      <alignment horizontal="right"/>
      <protection locked="0"/>
    </xf>
    <xf numFmtId="179" fontId="0" fillId="0" borderId="0" xfId="0" applyNumberFormat="1" applyFont="1" applyAlignment="1" applyProtection="1">
      <alignment/>
      <protection locked="0"/>
    </xf>
    <xf numFmtId="0" fontId="0" fillId="0" borderId="10" xfId="0" applyFont="1" applyBorder="1" applyAlignment="1" applyProtection="1">
      <alignment/>
      <protection locked="0"/>
    </xf>
    <xf numFmtId="0" fontId="4" fillId="0" borderId="10" xfId="0" applyFont="1" applyBorder="1" applyAlignment="1" applyProtection="1">
      <alignment/>
      <protection locked="0"/>
    </xf>
    <xf numFmtId="173" fontId="0" fillId="0" borderId="0" xfId="0" applyNumberFormat="1" applyFont="1" applyAlignment="1" applyProtection="1">
      <alignment horizontal="left" wrapText="1"/>
      <protection locked="0"/>
    </xf>
    <xf numFmtId="173" fontId="0" fillId="0" borderId="0" xfId="0" applyNumberFormat="1" applyFont="1" applyAlignment="1" applyProtection="1">
      <alignment/>
      <protection locked="0"/>
    </xf>
    <xf numFmtId="0" fontId="0" fillId="0" borderId="0" xfId="0" applyFont="1" applyAlignment="1" applyProtection="1">
      <alignment horizontal="left"/>
      <protection locked="0"/>
    </xf>
    <xf numFmtId="173" fontId="0" fillId="0" borderId="0" xfId="0" applyNumberFormat="1" applyFont="1" applyAlignment="1" applyProtection="1">
      <alignment wrapText="1"/>
      <protection locked="0"/>
    </xf>
    <xf numFmtId="175" fontId="0" fillId="0" borderId="0" xfId="0" applyNumberFormat="1" applyFont="1" applyAlignment="1" applyProtection="1">
      <alignment/>
      <protection locked="0"/>
    </xf>
    <xf numFmtId="174" fontId="0" fillId="0" borderId="0" xfId="0" applyNumberFormat="1" applyFont="1" applyAlignment="1" applyProtection="1">
      <alignment/>
      <protection locked="0"/>
    </xf>
    <xf numFmtId="176" fontId="0" fillId="0" borderId="0" xfId="0" applyNumberFormat="1" applyFont="1" applyAlignment="1" applyProtection="1">
      <alignment/>
      <protection locked="0"/>
    </xf>
    <xf numFmtId="10" fontId="0" fillId="0" borderId="0" xfId="0" applyNumberFormat="1" applyFont="1" applyAlignment="1" applyProtection="1">
      <alignment/>
      <protection locked="0"/>
    </xf>
    <xf numFmtId="173" fontId="0" fillId="0" borderId="0" xfId="0" applyNumberFormat="1" applyFont="1" applyAlignment="1" applyProtection="1">
      <alignment horizontal="left"/>
      <protection locked="0"/>
    </xf>
    <xf numFmtId="177" fontId="0" fillId="0" borderId="0" xfId="0" applyNumberFormat="1" applyFont="1" applyAlignment="1" applyProtection="1">
      <alignment/>
      <protection locked="0"/>
    </xf>
    <xf numFmtId="9" fontId="0" fillId="0" borderId="0" xfId="0" applyNumberFormat="1" applyFont="1" applyAlignment="1" applyProtection="1">
      <alignment/>
      <protection locked="0"/>
    </xf>
    <xf numFmtId="0" fontId="0" fillId="0" borderId="0" xfId="0" applyFont="1" applyAlignment="1" applyProtection="1">
      <alignment wrapText="1"/>
      <protection locked="0"/>
    </xf>
    <xf numFmtId="173" fontId="4" fillId="0" borderId="10" xfId="0" applyNumberFormat="1" applyFont="1" applyBorder="1" applyAlignment="1" applyProtection="1">
      <alignment horizontal="center" wrapText="1"/>
      <protection locked="0"/>
    </xf>
    <xf numFmtId="173" fontId="0" fillId="0" borderId="0" xfId="0" applyNumberFormat="1" applyFont="1" applyBorder="1" applyAlignment="1" applyProtection="1">
      <alignment horizontal="center" wrapText="1"/>
      <protection locked="0"/>
    </xf>
    <xf numFmtId="173" fontId="4" fillId="0" borderId="0" xfId="0" applyNumberFormat="1" applyFont="1" applyBorder="1" applyAlignment="1" applyProtection="1">
      <alignment horizontal="center" wrapText="1"/>
      <protection locked="0"/>
    </xf>
    <xf numFmtId="0" fontId="2" fillId="0" borderId="0" xfId="0" applyFont="1" applyBorder="1" applyAlignment="1" applyProtection="1">
      <alignment horizontal="right"/>
      <protection locked="0"/>
    </xf>
    <xf numFmtId="176" fontId="2" fillId="0" borderId="0" xfId="0" applyNumberFormat="1" applyFont="1" applyBorder="1" applyAlignment="1" applyProtection="1">
      <alignment/>
      <protection locked="0"/>
    </xf>
    <xf numFmtId="173" fontId="2" fillId="0" borderId="0" xfId="0" applyNumberFormat="1" applyFont="1" applyBorder="1" applyAlignment="1" applyProtection="1">
      <alignment/>
      <protection locked="0"/>
    </xf>
    <xf numFmtId="174" fontId="2" fillId="0" borderId="0" xfId="0" applyNumberFormat="1" applyFont="1" applyBorder="1" applyAlignment="1" applyProtection="1">
      <alignment/>
      <protection locked="0"/>
    </xf>
    <xf numFmtId="0" fontId="3" fillId="0" borderId="10" xfId="0" applyFont="1" applyBorder="1" applyAlignment="1" applyProtection="1">
      <alignment horizontal="center"/>
      <protection locked="0"/>
    </xf>
    <xf numFmtId="41" fontId="2" fillId="0" borderId="11" xfId="0" applyNumberFormat="1" applyFont="1" applyBorder="1" applyAlignment="1" applyProtection="1">
      <alignment horizontal="right"/>
      <protection locked="0"/>
    </xf>
    <xf numFmtId="179" fontId="1" fillId="0" borderId="0" xfId="0" applyNumberFormat="1" applyFont="1" applyBorder="1" applyAlignment="1" applyProtection="1">
      <alignment/>
      <protection locked="0"/>
    </xf>
    <xf numFmtId="0" fontId="2" fillId="0" borderId="14" xfId="0" applyFont="1" applyBorder="1" applyAlignment="1" applyProtection="1">
      <alignment/>
      <protection locked="0"/>
    </xf>
    <xf numFmtId="173" fontId="4" fillId="19" borderId="10" xfId="0" applyNumberFormat="1" applyFont="1" applyFill="1" applyBorder="1" applyAlignment="1" applyProtection="1">
      <alignment horizontal="center" wrapText="1"/>
      <protection locked="0"/>
    </xf>
    <xf numFmtId="179" fontId="1" fillId="0" borderId="0" xfId="0" applyNumberFormat="1" applyFont="1" applyFill="1" applyAlignment="1" applyProtection="1">
      <alignment/>
      <protection locked="0"/>
    </xf>
    <xf numFmtId="0" fontId="0" fillId="0" borderId="10" xfId="0" applyFont="1" applyBorder="1" applyAlignment="1" applyProtection="1">
      <alignment horizontal="right"/>
      <protection locked="0"/>
    </xf>
    <xf numFmtId="188" fontId="0" fillId="0" borderId="0" xfId="50" applyNumberFormat="1" applyFont="1" applyBorder="1" applyAlignment="1" applyProtection="1">
      <alignment horizontal="center"/>
      <protection locked="0"/>
    </xf>
    <xf numFmtId="41" fontId="2" fillId="0" borderId="0" xfId="50" applyNumberFormat="1" applyFont="1" applyBorder="1" applyAlignment="1" applyProtection="1">
      <alignment horizontal="center"/>
      <protection locked="0"/>
    </xf>
    <xf numFmtId="171" fontId="2" fillId="0" borderId="0" xfId="0" applyNumberFormat="1" applyFont="1" applyBorder="1" applyAlignment="1" applyProtection="1">
      <alignment/>
      <protection locked="0"/>
    </xf>
    <xf numFmtId="41" fontId="2" fillId="0" borderId="0" xfId="0" applyNumberFormat="1" applyFont="1" applyBorder="1" applyAlignment="1" applyProtection="1">
      <alignment horizontal="right"/>
      <protection locked="0"/>
    </xf>
    <xf numFmtId="41" fontId="9" fillId="0" borderId="0" xfId="0" applyNumberFormat="1" applyFont="1" applyBorder="1" applyAlignment="1" applyProtection="1">
      <alignment/>
      <protection locked="0"/>
    </xf>
    <xf numFmtId="171" fontId="3" fillId="0" borderId="0" xfId="0" applyNumberFormat="1" applyFont="1" applyBorder="1" applyAlignment="1" applyProtection="1">
      <alignment/>
      <protection locked="0"/>
    </xf>
    <xf numFmtId="170" fontId="2" fillId="0" borderId="0" xfId="0" applyNumberFormat="1" applyFont="1" applyBorder="1" applyAlignment="1" applyProtection="1">
      <alignment/>
      <protection locked="0"/>
    </xf>
    <xf numFmtId="9" fontId="2" fillId="0" borderId="0" xfId="0" applyNumberFormat="1" applyFont="1" applyBorder="1" applyAlignment="1" applyProtection="1">
      <alignment horizontal="left"/>
      <protection locked="0"/>
    </xf>
    <xf numFmtId="10" fontId="2" fillId="0" borderId="0" xfId="0" applyNumberFormat="1" applyFont="1" applyBorder="1" applyAlignment="1" applyProtection="1">
      <alignment/>
      <protection locked="0"/>
    </xf>
    <xf numFmtId="37" fontId="2" fillId="0" borderId="0" xfId="46" applyNumberFormat="1" applyFont="1" applyBorder="1" applyAlignment="1" applyProtection="1">
      <alignment/>
      <protection locked="0"/>
    </xf>
    <xf numFmtId="173" fontId="3" fillId="0" borderId="0" xfId="0" applyNumberFormat="1" applyFont="1" applyAlignment="1" applyProtection="1">
      <alignment/>
      <protection locked="0"/>
    </xf>
    <xf numFmtId="1" fontId="0" fillId="0" borderId="0" xfId="0" applyNumberFormat="1"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Alignment="1" applyProtection="1">
      <alignment/>
      <protection locked="0"/>
    </xf>
    <xf numFmtId="179" fontId="1" fillId="0" borderId="0" xfId="0" applyNumberFormat="1" applyFont="1" applyAlignment="1" applyProtection="1">
      <alignment horizontal="center"/>
      <protection locked="0"/>
    </xf>
    <xf numFmtId="179" fontId="4" fillId="0" borderId="0" xfId="0" applyNumberFormat="1" applyFont="1" applyAlignment="1" applyProtection="1">
      <alignment/>
      <protection locked="0"/>
    </xf>
    <xf numFmtId="179" fontId="0" fillId="0" borderId="0" xfId="0" applyNumberFormat="1" applyFont="1" applyAlignment="1" applyProtection="1">
      <alignment horizontal="right"/>
      <protection locked="0"/>
    </xf>
    <xf numFmtId="1" fontId="0" fillId="0" borderId="0" xfId="0" applyNumberFormat="1" applyAlignment="1" applyProtection="1">
      <alignment horizontal="right"/>
      <protection locked="0"/>
    </xf>
    <xf numFmtId="179" fontId="0" fillId="0" borderId="0" xfId="0" applyNumberFormat="1" applyAlignment="1" applyProtection="1">
      <alignment/>
      <protection locked="0"/>
    </xf>
    <xf numFmtId="1" fontId="0" fillId="0" borderId="0" xfId="0" applyNumberFormat="1" applyAlignment="1" applyProtection="1">
      <alignment/>
      <protection locked="0"/>
    </xf>
    <xf numFmtId="41" fontId="0" fillId="0" borderId="0" xfId="46" applyFont="1" applyAlignment="1" applyProtection="1">
      <alignment/>
      <protection locked="0"/>
    </xf>
    <xf numFmtId="180" fontId="0" fillId="0" borderId="0" xfId="0" applyNumberFormat="1" applyAlignment="1" applyProtection="1">
      <alignment/>
      <protection locked="0"/>
    </xf>
    <xf numFmtId="2" fontId="0" fillId="0" borderId="0" xfId="0" applyNumberFormat="1" applyAlignment="1" applyProtection="1">
      <alignment/>
      <protection locked="0"/>
    </xf>
    <xf numFmtId="179" fontId="13" fillId="0" borderId="0" xfId="0" applyNumberFormat="1" applyFont="1" applyAlignment="1" applyProtection="1">
      <alignment/>
      <protection locked="0"/>
    </xf>
    <xf numFmtId="179" fontId="6" fillId="0" borderId="0" xfId="0" applyNumberFormat="1" applyFont="1" applyAlignment="1" applyProtection="1">
      <alignment horizontal="right"/>
      <protection locked="0"/>
    </xf>
    <xf numFmtId="190" fontId="2" fillId="0" borderId="0" xfId="0" applyNumberFormat="1" applyFont="1" applyBorder="1" applyAlignment="1" applyProtection="1">
      <alignment/>
      <protection locked="0"/>
    </xf>
    <xf numFmtId="171" fontId="9" fillId="0" borderId="0" xfId="0" applyNumberFormat="1" applyFont="1" applyBorder="1" applyAlignment="1" applyProtection="1">
      <alignment/>
      <protection locked="0"/>
    </xf>
    <xf numFmtId="171" fontId="3" fillId="0" borderId="0" xfId="46" applyNumberFormat="1" applyFont="1" applyBorder="1" applyAlignment="1" applyProtection="1">
      <alignment/>
      <protection locked="0"/>
    </xf>
    <xf numFmtId="179" fontId="14" fillId="0" borderId="0" xfId="0" applyNumberFormat="1" applyFont="1" applyAlignment="1" applyProtection="1">
      <alignment/>
      <protection locked="0"/>
    </xf>
    <xf numFmtId="41" fontId="10" fillId="0" borderId="0" xfId="46" applyFont="1" applyBorder="1" applyAlignment="1" applyProtection="1">
      <alignment/>
      <protection locked="0"/>
    </xf>
    <xf numFmtId="186" fontId="9" fillId="0" borderId="0" xfId="0" applyNumberFormat="1" applyFont="1" applyBorder="1" applyAlignment="1" applyProtection="1">
      <alignment/>
      <protection locked="0"/>
    </xf>
    <xf numFmtId="0" fontId="2" fillId="0" borderId="0" xfId="0" applyFont="1" applyFill="1" applyBorder="1" applyAlignment="1" applyProtection="1">
      <alignment/>
      <protection locked="0"/>
    </xf>
    <xf numFmtId="179" fontId="1" fillId="0" borderId="0" xfId="0" applyNumberFormat="1" applyFont="1" applyFill="1" applyBorder="1" applyAlignment="1" applyProtection="1">
      <alignment horizontal="right"/>
      <protection locked="0"/>
    </xf>
    <xf numFmtId="179" fontId="1" fillId="0" borderId="0" xfId="0" applyNumberFormat="1" applyFont="1" applyBorder="1" applyAlignment="1" applyProtection="1">
      <alignment horizontal="right"/>
      <protection locked="0"/>
    </xf>
    <xf numFmtId="179" fontId="1" fillId="0" borderId="0" xfId="0" applyNumberFormat="1" applyFont="1" applyFill="1" applyBorder="1" applyAlignment="1" applyProtection="1">
      <alignment/>
      <protection locked="0"/>
    </xf>
    <xf numFmtId="0" fontId="3" fillId="0" borderId="0" xfId="0" applyFont="1" applyFill="1" applyBorder="1" applyAlignment="1" applyProtection="1">
      <alignment horizontal="center"/>
      <protection locked="0"/>
    </xf>
    <xf numFmtId="179" fontId="13" fillId="0" borderId="0" xfId="0" applyNumberFormat="1" applyFont="1" applyBorder="1" applyAlignment="1" applyProtection="1">
      <alignment/>
      <protection locked="0"/>
    </xf>
    <xf numFmtId="179" fontId="19" fillId="0" borderId="0" xfId="0" applyNumberFormat="1" applyFont="1" applyFill="1" applyBorder="1" applyAlignment="1" applyProtection="1">
      <alignment horizontal="center"/>
      <protection locked="0"/>
    </xf>
    <xf numFmtId="173" fontId="2" fillId="0" borderId="0" xfId="0" applyNumberFormat="1" applyFont="1" applyBorder="1" applyAlignment="1" applyProtection="1">
      <alignment horizontal="left"/>
      <protection locked="0"/>
    </xf>
    <xf numFmtId="179" fontId="0" fillId="0" borderId="0" xfId="0" applyNumberFormat="1" applyFont="1" applyBorder="1" applyAlignment="1" applyProtection="1">
      <alignment/>
      <protection locked="0"/>
    </xf>
    <xf numFmtId="0" fontId="9" fillId="0" borderId="0" xfId="0" applyFont="1" applyBorder="1" applyAlignment="1" applyProtection="1">
      <alignment/>
      <protection locked="0"/>
    </xf>
    <xf numFmtId="0" fontId="4" fillId="0" borderId="0" xfId="0" applyFont="1" applyBorder="1" applyAlignment="1" applyProtection="1">
      <alignment/>
      <protection locked="0"/>
    </xf>
    <xf numFmtId="179" fontId="4" fillId="24" borderId="0" xfId="0" applyNumberFormat="1" applyFont="1" applyFill="1" applyAlignment="1" applyProtection="1">
      <alignment/>
      <protection locked="0"/>
    </xf>
    <xf numFmtId="179" fontId="13" fillId="24" borderId="0" xfId="0" applyNumberFormat="1" applyFont="1" applyFill="1" applyAlignment="1" applyProtection="1">
      <alignment/>
      <protection locked="0"/>
    </xf>
    <xf numFmtId="179" fontId="0" fillId="24" borderId="0" xfId="0" applyNumberFormat="1" applyFont="1" applyFill="1" applyAlignment="1" applyProtection="1">
      <alignment/>
      <protection locked="0"/>
    </xf>
    <xf numFmtId="41" fontId="4" fillId="24" borderId="0" xfId="46" applyFont="1" applyFill="1" applyAlignment="1" applyProtection="1">
      <alignment/>
      <protection locked="0"/>
    </xf>
    <xf numFmtId="179" fontId="6" fillId="24" borderId="0" xfId="0" applyNumberFormat="1" applyFont="1" applyFill="1" applyAlignment="1" applyProtection="1">
      <alignment/>
      <protection locked="0"/>
    </xf>
    <xf numFmtId="185" fontId="13" fillId="24" borderId="0" xfId="0" applyNumberFormat="1" applyFont="1" applyFill="1" applyAlignment="1" applyProtection="1">
      <alignment/>
      <protection locked="0"/>
    </xf>
    <xf numFmtId="178" fontId="2" fillId="24" borderId="0" xfId="0" applyNumberFormat="1" applyFont="1" applyFill="1" applyBorder="1" applyAlignment="1" applyProtection="1">
      <alignment/>
      <protection locked="0"/>
    </xf>
    <xf numFmtId="41" fontId="13" fillId="24" borderId="0" xfId="46" applyFont="1" applyFill="1" applyAlignment="1" applyProtection="1">
      <alignment/>
      <protection locked="0"/>
    </xf>
    <xf numFmtId="179" fontId="0" fillId="24" borderId="0" xfId="0" applyNumberFormat="1" applyFont="1" applyFill="1" applyAlignment="1" applyProtection="1">
      <alignment horizontal="right"/>
      <protection locked="0"/>
    </xf>
    <xf numFmtId="173" fontId="2" fillId="0" borderId="0" xfId="0" applyNumberFormat="1" applyFont="1" applyFill="1" applyBorder="1" applyAlignment="1" applyProtection="1">
      <alignment horizontal="left"/>
      <protection locked="0"/>
    </xf>
    <xf numFmtId="173" fontId="3" fillId="0" borderId="0" xfId="0" applyNumberFormat="1" applyFont="1" applyFill="1" applyBorder="1" applyAlignment="1" applyProtection="1">
      <alignment horizontal="left"/>
      <protection locked="0"/>
    </xf>
    <xf numFmtId="0" fontId="2" fillId="0" borderId="0" xfId="0" applyFont="1" applyFill="1" applyBorder="1" applyAlignment="1" applyProtection="1">
      <alignment wrapText="1"/>
      <protection locked="0"/>
    </xf>
    <xf numFmtId="173" fontId="2" fillId="0" borderId="0" xfId="0" applyNumberFormat="1" applyFont="1" applyFill="1" applyBorder="1" applyAlignment="1" applyProtection="1">
      <alignment horizontal="left" wrapText="1"/>
      <protection locked="0"/>
    </xf>
    <xf numFmtId="0" fontId="9" fillId="0" borderId="0" xfId="0" applyFont="1" applyFill="1" applyBorder="1" applyAlignment="1" applyProtection="1">
      <alignment wrapText="1"/>
      <protection locked="0"/>
    </xf>
    <xf numFmtId="0" fontId="4" fillId="0" borderId="0" xfId="0" applyFont="1" applyFill="1" applyBorder="1" applyAlignment="1" applyProtection="1">
      <alignment horizontal="left"/>
      <protection locked="0"/>
    </xf>
    <xf numFmtId="9" fontId="2" fillId="0" borderId="0" xfId="50" applyFont="1" applyBorder="1" applyAlignment="1" applyProtection="1">
      <alignment/>
      <protection locked="0"/>
    </xf>
    <xf numFmtId="179" fontId="0" fillId="0" borderId="0" xfId="0" applyNumberFormat="1" applyFont="1" applyFill="1" applyBorder="1" applyAlignment="1" applyProtection="1">
      <alignment/>
      <protection locked="0"/>
    </xf>
    <xf numFmtId="179" fontId="20" fillId="0" borderId="0" xfId="0" applyNumberFormat="1" applyFont="1" applyBorder="1" applyAlignment="1" applyProtection="1">
      <alignment/>
      <protection locked="0"/>
    </xf>
    <xf numFmtId="179" fontId="9" fillId="0" borderId="0" xfId="0" applyNumberFormat="1" applyFont="1" applyBorder="1" applyAlignment="1" applyProtection="1">
      <alignment/>
      <protection locked="0"/>
    </xf>
    <xf numFmtId="0" fontId="9" fillId="0" borderId="0" xfId="0" applyFont="1" applyFill="1" applyBorder="1" applyAlignment="1" applyProtection="1">
      <alignment/>
      <protection locked="0"/>
    </xf>
    <xf numFmtId="179" fontId="21" fillId="0" borderId="0" xfId="0" applyNumberFormat="1" applyFont="1" applyFill="1" applyBorder="1" applyAlignment="1" applyProtection="1">
      <alignment/>
      <protection locked="0"/>
    </xf>
    <xf numFmtId="179" fontId="9" fillId="0" borderId="0" xfId="0" applyNumberFormat="1" applyFont="1" applyFill="1" applyBorder="1" applyAlignment="1" applyProtection="1">
      <alignment/>
      <protection locked="0"/>
    </xf>
    <xf numFmtId="179" fontId="21" fillId="0" borderId="0" xfId="0" applyNumberFormat="1" applyFont="1" applyFill="1" applyBorder="1" applyAlignment="1" applyProtection="1">
      <alignment horizontal="right"/>
      <protection locked="0"/>
    </xf>
    <xf numFmtId="179" fontId="20" fillId="0" borderId="0" xfId="0" applyNumberFormat="1" applyFont="1" applyBorder="1" applyAlignment="1" applyProtection="1">
      <alignment vertical="center"/>
      <protection locked="0"/>
    </xf>
    <xf numFmtId="41" fontId="2" fillId="0" borderId="15" xfId="0" applyNumberFormat="1" applyFont="1" applyBorder="1" applyAlignment="1" applyProtection="1">
      <alignment/>
      <protection locked="0"/>
    </xf>
    <xf numFmtId="41" fontId="23" fillId="0" borderId="0" xfId="50" applyNumberFormat="1" applyFont="1" applyBorder="1" applyAlignment="1" applyProtection="1">
      <alignment horizontal="center"/>
      <protection locked="0"/>
    </xf>
    <xf numFmtId="171" fontId="3" fillId="0" borderId="0" xfId="0" applyNumberFormat="1" applyFont="1" applyBorder="1" applyAlignment="1" applyProtection="1">
      <alignment horizontal="center"/>
      <protection locked="0"/>
    </xf>
    <xf numFmtId="9" fontId="9" fillId="0" borderId="0" xfId="50" applyFont="1" applyBorder="1" applyAlignment="1" applyProtection="1">
      <alignment horizontal="center"/>
      <protection locked="0"/>
    </xf>
    <xf numFmtId="9" fontId="2" fillId="0" borderId="0" xfId="50" applyFont="1" applyFill="1" applyBorder="1" applyAlignment="1" applyProtection="1">
      <alignment horizontal="right"/>
      <protection locked="0"/>
    </xf>
    <xf numFmtId="41" fontId="1" fillId="0" borderId="0" xfId="46" applyFont="1" applyFill="1" applyBorder="1" applyAlignment="1" applyProtection="1">
      <alignment horizontal="left"/>
      <protection locked="0"/>
    </xf>
    <xf numFmtId="41" fontId="2" fillId="0" borderId="16" xfId="0" applyNumberFormat="1" applyFont="1" applyBorder="1" applyAlignment="1" applyProtection="1">
      <alignment/>
      <protection locked="0"/>
    </xf>
    <xf numFmtId="41" fontId="2" fillId="0" borderId="17" xfId="0" applyNumberFormat="1" applyFont="1" applyBorder="1" applyAlignment="1" applyProtection="1">
      <alignment horizontal="center" vertical="center" wrapText="1"/>
      <protection locked="0"/>
    </xf>
    <xf numFmtId="171" fontId="3" fillId="0" borderId="10" xfId="0" applyNumberFormat="1" applyFont="1" applyBorder="1" applyAlignment="1" applyProtection="1">
      <alignment/>
      <protection locked="0"/>
    </xf>
    <xf numFmtId="179" fontId="0" fillId="0" borderId="11" xfId="0" applyNumberFormat="1" applyFont="1" applyFill="1" applyBorder="1" applyAlignment="1" applyProtection="1">
      <alignment/>
      <protection locked="0"/>
    </xf>
    <xf numFmtId="41" fontId="9" fillId="0" borderId="11" xfId="0" applyNumberFormat="1" applyFont="1" applyBorder="1" applyAlignment="1" applyProtection="1">
      <alignment/>
      <protection locked="0"/>
    </xf>
    <xf numFmtId="41" fontId="3" fillId="0" borderId="11" xfId="46" applyFont="1" applyBorder="1" applyAlignment="1" applyProtection="1">
      <alignment horizontal="center"/>
      <protection locked="0"/>
    </xf>
    <xf numFmtId="171" fontId="3" fillId="0" borderId="11" xfId="0" applyNumberFormat="1" applyFont="1" applyBorder="1" applyAlignment="1" applyProtection="1">
      <alignment horizontal="center"/>
      <protection locked="0"/>
    </xf>
    <xf numFmtId="0" fontId="2" fillId="0" borderId="17" xfId="0" applyFont="1" applyFill="1" applyBorder="1" applyAlignment="1" applyProtection="1">
      <alignment/>
      <protection locked="0"/>
    </xf>
    <xf numFmtId="0" fontId="2" fillId="0" borderId="18" xfId="0" applyFont="1" applyFill="1" applyBorder="1" applyAlignment="1" applyProtection="1">
      <alignment/>
      <protection locked="0"/>
    </xf>
    <xf numFmtId="171" fontId="3" fillId="0" borderId="11" xfId="62" applyFont="1" applyBorder="1" applyAlignment="1" applyProtection="1">
      <alignment horizontal="center"/>
      <protection locked="0"/>
    </xf>
    <xf numFmtId="179" fontId="2" fillId="0" borderId="19" xfId="0" applyNumberFormat="1" applyFont="1" applyBorder="1" applyAlignment="1" applyProtection="1">
      <alignment/>
      <protection locked="0"/>
    </xf>
    <xf numFmtId="179" fontId="1" fillId="24" borderId="0" xfId="0" applyNumberFormat="1" applyFont="1" applyFill="1" applyAlignment="1" applyProtection="1">
      <alignment/>
      <protection locked="0"/>
    </xf>
    <xf numFmtId="41" fontId="2" fillId="0" borderId="10" xfId="46" applyFont="1" applyBorder="1" applyAlignment="1" applyProtection="1">
      <alignment/>
      <protection hidden="1"/>
    </xf>
    <xf numFmtId="182" fontId="2" fillId="0" borderId="0" xfId="46" applyNumberFormat="1" applyFont="1" applyBorder="1" applyAlignment="1" applyProtection="1">
      <alignment/>
      <protection hidden="1"/>
    </xf>
    <xf numFmtId="173" fontId="2" fillId="0" borderId="10" xfId="0" applyNumberFormat="1" applyFont="1" applyBorder="1" applyAlignment="1" applyProtection="1">
      <alignment/>
      <protection hidden="1"/>
    </xf>
    <xf numFmtId="41" fontId="2" fillId="0" borderId="10" xfId="0" applyNumberFormat="1" applyFont="1" applyBorder="1" applyAlignment="1" applyProtection="1">
      <alignment/>
      <protection hidden="1"/>
    </xf>
    <xf numFmtId="182" fontId="2" fillId="0" borderId="15" xfId="46" applyNumberFormat="1" applyFont="1" applyBorder="1" applyAlignment="1" applyProtection="1">
      <alignment/>
      <protection hidden="1"/>
    </xf>
    <xf numFmtId="184" fontId="2" fillId="0" borderId="15" xfId="46" applyNumberFormat="1" applyFont="1" applyBorder="1" applyAlignment="1" applyProtection="1">
      <alignment/>
      <protection hidden="1"/>
    </xf>
    <xf numFmtId="41" fontId="10" fillId="0" borderId="10" xfId="0" applyNumberFormat="1" applyFont="1" applyBorder="1" applyAlignment="1" applyProtection="1">
      <alignment horizontal="left"/>
      <protection hidden="1"/>
    </xf>
    <xf numFmtId="41" fontId="2" fillId="0" borderId="0" xfId="0" applyNumberFormat="1" applyFont="1" applyBorder="1" applyAlignment="1" applyProtection="1">
      <alignment horizontal="right"/>
      <protection hidden="1"/>
    </xf>
    <xf numFmtId="41" fontId="2" fillId="0" borderId="0" xfId="0" applyNumberFormat="1" applyFont="1" applyBorder="1" applyAlignment="1" applyProtection="1">
      <alignment/>
      <protection hidden="1"/>
    </xf>
    <xf numFmtId="41" fontId="2" fillId="0" borderId="10" xfId="0" applyNumberFormat="1" applyFont="1" applyBorder="1" applyAlignment="1" applyProtection="1">
      <alignment horizontal="left"/>
      <protection hidden="1"/>
    </xf>
    <xf numFmtId="186" fontId="10" fillId="0" borderId="10" xfId="0" applyNumberFormat="1" applyFont="1" applyBorder="1" applyAlignment="1" applyProtection="1">
      <alignment/>
      <protection hidden="1"/>
    </xf>
    <xf numFmtId="41" fontId="2" fillId="0" borderId="0" xfId="46" applyFont="1" applyBorder="1" applyAlignment="1" applyProtection="1">
      <alignment/>
      <protection hidden="1"/>
    </xf>
    <xf numFmtId="41" fontId="10" fillId="0" borderId="10" xfId="0" applyNumberFormat="1" applyFont="1" applyBorder="1" applyAlignment="1" applyProtection="1">
      <alignment/>
      <protection hidden="1"/>
    </xf>
    <xf numFmtId="181" fontId="2" fillId="0" borderId="10" xfId="0" applyNumberFormat="1" applyFont="1" applyBorder="1" applyAlignment="1" applyProtection="1">
      <alignment/>
      <protection hidden="1"/>
    </xf>
    <xf numFmtId="41" fontId="2" fillId="0" borderId="15" xfId="0" applyNumberFormat="1" applyFont="1" applyBorder="1" applyAlignment="1" applyProtection="1">
      <alignment/>
      <protection hidden="1"/>
    </xf>
    <xf numFmtId="0" fontId="2" fillId="0" borderId="10" xfId="0" applyFont="1" applyBorder="1" applyAlignment="1" applyProtection="1">
      <alignment wrapText="1"/>
      <protection hidden="1"/>
    </xf>
    <xf numFmtId="173" fontId="16" fillId="0" borderId="10" xfId="0" applyNumberFormat="1" applyFont="1" applyBorder="1" applyAlignment="1" applyProtection="1">
      <alignment horizontal="left" wrapText="1"/>
      <protection hidden="1"/>
    </xf>
    <xf numFmtId="0" fontId="3" fillId="0" borderId="0" xfId="0" applyFont="1" applyBorder="1" applyAlignment="1" applyProtection="1">
      <alignment/>
      <protection hidden="1"/>
    </xf>
    <xf numFmtId="181" fontId="3" fillId="0" borderId="0" xfId="0" applyNumberFormat="1" applyFont="1" applyBorder="1" applyAlignment="1" applyProtection="1">
      <alignment/>
      <protection hidden="1"/>
    </xf>
    <xf numFmtId="0" fontId="3" fillId="0" borderId="10" xfId="0" applyFont="1" applyBorder="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protection hidden="1"/>
    </xf>
    <xf numFmtId="0" fontId="2" fillId="0" borderId="15" xfId="0" applyFont="1" applyBorder="1" applyAlignment="1" applyProtection="1">
      <alignment/>
      <protection hidden="1"/>
    </xf>
    <xf numFmtId="41" fontId="2" fillId="0" borderId="15" xfId="46" applyFont="1" applyBorder="1" applyAlignment="1" applyProtection="1">
      <alignment/>
      <protection hidden="1"/>
    </xf>
    <xf numFmtId="0" fontId="22" fillId="0" borderId="10" xfId="0" applyFont="1" applyBorder="1" applyAlignment="1" applyProtection="1">
      <alignment/>
      <protection hidden="1"/>
    </xf>
    <xf numFmtId="41" fontId="9" fillId="0" borderId="0" xfId="46" applyFont="1" applyBorder="1" applyAlignment="1" applyProtection="1">
      <alignment/>
      <protection hidden="1"/>
    </xf>
    <xf numFmtId="173" fontId="3" fillId="0" borderId="10" xfId="0" applyNumberFormat="1" applyFont="1" applyBorder="1" applyAlignment="1" applyProtection="1">
      <alignment horizontal="left"/>
      <protection hidden="1"/>
    </xf>
    <xf numFmtId="173" fontId="2" fillId="0" borderId="10" xfId="0" applyNumberFormat="1" applyFont="1" applyBorder="1" applyAlignment="1" applyProtection="1">
      <alignment horizontal="center" vertical="center" wrapText="1"/>
      <protection hidden="1"/>
    </xf>
    <xf numFmtId="173" fontId="2" fillId="0" borderId="10" xfId="0" applyNumberFormat="1" applyFont="1" applyBorder="1" applyAlignment="1" applyProtection="1">
      <alignment horizontal="left" wrapText="1"/>
      <protection hidden="1"/>
    </xf>
    <xf numFmtId="0" fontId="2" fillId="0" borderId="0" xfId="0" applyFont="1" applyFill="1" applyBorder="1" applyAlignment="1" applyProtection="1">
      <alignment/>
      <protection hidden="1"/>
    </xf>
    <xf numFmtId="0" fontId="2" fillId="0" borderId="0" xfId="0" applyFont="1" applyBorder="1" applyAlignment="1" applyProtection="1">
      <alignment horizontal="right"/>
      <protection hidden="1"/>
    </xf>
    <xf numFmtId="173" fontId="2" fillId="0" borderId="10" xfId="0" applyNumberFormat="1" applyFont="1" applyBorder="1" applyAlignment="1" applyProtection="1">
      <alignment horizontal="left"/>
      <protection hidden="1"/>
    </xf>
    <xf numFmtId="173" fontId="2" fillId="0" borderId="14" xfId="0" applyNumberFormat="1" applyFont="1" applyBorder="1" applyAlignment="1" applyProtection="1">
      <alignment horizontal="left"/>
      <protection hidden="1"/>
    </xf>
    <xf numFmtId="0" fontId="2" fillId="0" borderId="11" xfId="0" applyFont="1" applyBorder="1" applyAlignment="1" applyProtection="1">
      <alignment/>
      <protection hidden="1"/>
    </xf>
    <xf numFmtId="173" fontId="2" fillId="0" borderId="0" xfId="0" applyNumberFormat="1" applyFont="1" applyBorder="1" applyAlignment="1" applyProtection="1">
      <alignment/>
      <protection hidden="1"/>
    </xf>
    <xf numFmtId="41" fontId="2" fillId="0" borderId="11" xfId="46" applyFont="1" applyBorder="1" applyAlignment="1" applyProtection="1">
      <alignment/>
      <protection hidden="1"/>
    </xf>
    <xf numFmtId="171" fontId="2" fillId="0" borderId="11" xfId="0" applyNumberFormat="1" applyFont="1" applyBorder="1" applyAlignment="1" applyProtection="1">
      <alignment/>
      <protection hidden="1"/>
    </xf>
    <xf numFmtId="175" fontId="7" fillId="0" borderId="0" xfId="50" applyNumberFormat="1" applyFont="1" applyBorder="1" applyAlignment="1" applyProtection="1">
      <alignment/>
      <protection hidden="1"/>
    </xf>
    <xf numFmtId="178" fontId="2" fillId="0" borderId="0" xfId="0" applyNumberFormat="1" applyFont="1" applyBorder="1" applyAlignment="1" applyProtection="1">
      <alignment/>
      <protection hidden="1"/>
    </xf>
    <xf numFmtId="176" fontId="2" fillId="0" borderId="0" xfId="0" applyNumberFormat="1" applyFont="1" applyBorder="1" applyAlignment="1" applyProtection="1">
      <alignment horizontal="right"/>
      <protection hidden="1"/>
    </xf>
    <xf numFmtId="9" fontId="2" fillId="0" borderId="11" xfId="0" applyNumberFormat="1" applyFont="1" applyBorder="1" applyAlignment="1" applyProtection="1">
      <alignment horizontal="left"/>
      <protection hidden="1"/>
    </xf>
    <xf numFmtId="176" fontId="2" fillId="0" borderId="0" xfId="0" applyNumberFormat="1" applyFont="1" applyBorder="1" applyAlignment="1" applyProtection="1">
      <alignment/>
      <protection hidden="1"/>
    </xf>
    <xf numFmtId="171" fontId="3" fillId="0" borderId="11" xfId="0" applyNumberFormat="1" applyFont="1" applyBorder="1" applyAlignment="1" applyProtection="1">
      <alignment/>
      <protection hidden="1"/>
    </xf>
    <xf numFmtId="10" fontId="2" fillId="0" borderId="11" xfId="0" applyNumberFormat="1" applyFont="1" applyBorder="1" applyAlignment="1" applyProtection="1">
      <alignment/>
      <protection hidden="1"/>
    </xf>
    <xf numFmtId="179" fontId="0" fillId="0" borderId="15" xfId="0" applyNumberFormat="1" applyFont="1" applyFill="1" applyBorder="1" applyAlignment="1" applyProtection="1">
      <alignment/>
      <protection hidden="1"/>
    </xf>
    <xf numFmtId="0" fontId="2" fillId="0" borderId="11" xfId="0" applyFont="1" applyFill="1" applyBorder="1" applyAlignment="1" applyProtection="1">
      <alignment/>
      <protection hidden="1"/>
    </xf>
    <xf numFmtId="0" fontId="2" fillId="16" borderId="0" xfId="0" applyFont="1" applyFill="1" applyBorder="1" applyAlignment="1" applyProtection="1">
      <alignment/>
      <protection hidden="1"/>
    </xf>
    <xf numFmtId="0" fontId="2" fillId="16" borderId="11" xfId="0" applyFont="1" applyFill="1" applyBorder="1" applyAlignment="1" applyProtection="1">
      <alignment/>
      <protection hidden="1"/>
    </xf>
    <xf numFmtId="171" fontId="4" fillId="0" borderId="0" xfId="0" applyNumberFormat="1" applyFont="1" applyFill="1" applyBorder="1" applyAlignment="1" applyProtection="1">
      <alignment horizontal="center"/>
      <protection locked="0"/>
    </xf>
    <xf numFmtId="0" fontId="2" fillId="0" borderId="20" xfId="0" applyFont="1" applyBorder="1" applyAlignment="1" applyProtection="1">
      <alignment/>
      <protection locked="0"/>
    </xf>
    <xf numFmtId="0" fontId="27" fillId="0" borderId="0" xfId="0" applyFont="1" applyFill="1" applyBorder="1" applyAlignment="1" applyProtection="1">
      <alignment/>
      <protection locked="0"/>
    </xf>
    <xf numFmtId="41" fontId="28" fillId="0" borderId="11" xfId="46" applyFont="1" applyFill="1" applyBorder="1" applyAlignment="1" applyProtection="1">
      <alignment horizontal="center"/>
      <protection locked="0"/>
    </xf>
    <xf numFmtId="179" fontId="29" fillId="0" borderId="11" xfId="0" applyNumberFormat="1" applyFont="1" applyFill="1" applyBorder="1" applyAlignment="1" applyProtection="1">
      <alignment/>
      <protection locked="0"/>
    </xf>
    <xf numFmtId="173" fontId="2" fillId="0" borderId="0" xfId="0" applyNumberFormat="1" applyFont="1" applyFill="1" applyBorder="1" applyAlignment="1" applyProtection="1">
      <alignment/>
      <protection hidden="1"/>
    </xf>
    <xf numFmtId="173" fontId="2" fillId="0" borderId="11" xfId="0" applyNumberFormat="1" applyFont="1" applyFill="1" applyBorder="1" applyAlignment="1" applyProtection="1">
      <alignment/>
      <protection hidden="1"/>
    </xf>
    <xf numFmtId="173" fontId="2" fillId="0" borderId="0" xfId="0" applyNumberFormat="1" applyFont="1" applyFill="1" applyBorder="1" applyAlignment="1" applyProtection="1">
      <alignment/>
      <protection hidden="1"/>
    </xf>
    <xf numFmtId="173" fontId="2" fillId="0" borderId="11" xfId="0" applyNumberFormat="1" applyFont="1" applyFill="1" applyBorder="1" applyAlignment="1" applyProtection="1">
      <alignment/>
      <protection hidden="1"/>
    </xf>
    <xf numFmtId="41" fontId="28" fillId="0" borderId="0" xfId="46" applyFont="1" applyFill="1" applyBorder="1" applyAlignment="1" applyProtection="1">
      <alignment horizontal="center"/>
      <protection locked="0"/>
    </xf>
    <xf numFmtId="179" fontId="29" fillId="0" borderId="0" xfId="0" applyNumberFormat="1" applyFont="1" applyFill="1" applyBorder="1" applyAlignment="1" applyProtection="1">
      <alignment/>
      <protection locked="0"/>
    </xf>
    <xf numFmtId="41" fontId="3" fillId="0" borderId="0" xfId="46" applyFont="1" applyBorder="1" applyAlignment="1" applyProtection="1">
      <alignment horizontal="center"/>
      <protection locked="0"/>
    </xf>
    <xf numFmtId="173" fontId="3" fillId="0" borderId="0" xfId="0" applyNumberFormat="1" applyFont="1" applyFill="1" applyBorder="1" applyAlignment="1" applyProtection="1">
      <alignment horizontal="left"/>
      <protection hidden="1"/>
    </xf>
    <xf numFmtId="173" fontId="2" fillId="0" borderId="0" xfId="0" applyNumberFormat="1" applyFont="1" applyFill="1" applyBorder="1" applyAlignment="1" applyProtection="1">
      <alignment horizontal="left"/>
      <protection hidden="1"/>
    </xf>
    <xf numFmtId="173" fontId="2" fillId="0" borderId="0" xfId="0" applyNumberFormat="1" applyFont="1" applyFill="1" applyBorder="1" applyAlignment="1" applyProtection="1">
      <alignment horizontal="left" wrapText="1"/>
      <protection hidden="1"/>
    </xf>
    <xf numFmtId="173" fontId="2" fillId="0" borderId="12" xfId="0" applyNumberFormat="1" applyFont="1" applyFill="1" applyBorder="1" applyAlignment="1" applyProtection="1">
      <alignment horizontal="left" wrapText="1"/>
      <protection hidden="1"/>
    </xf>
    <xf numFmtId="0" fontId="9" fillId="0" borderId="0" xfId="0" applyFont="1" applyBorder="1" applyAlignment="1" applyProtection="1">
      <alignment wrapText="1"/>
      <protection locked="0"/>
    </xf>
    <xf numFmtId="0" fontId="4" fillId="16" borderId="0" xfId="0" applyFont="1" applyFill="1" applyBorder="1" applyAlignment="1" applyProtection="1">
      <alignment horizontal="center" vertical="center" wrapText="1"/>
      <protection hidden="1"/>
    </xf>
    <xf numFmtId="0" fontId="3" fillId="16" borderId="12"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locked="0"/>
    </xf>
    <xf numFmtId="0" fontId="0" fillId="0" borderId="0" xfId="0" applyBorder="1" applyAlignment="1">
      <alignment/>
    </xf>
    <xf numFmtId="0" fontId="0" fillId="0" borderId="11" xfId="0" applyBorder="1" applyAlignment="1">
      <alignment/>
    </xf>
    <xf numFmtId="173" fontId="3" fillId="0" borderId="16" xfId="0" applyNumberFormat="1" applyFont="1" applyBorder="1" applyAlignment="1" applyProtection="1">
      <alignment horizontal="left"/>
      <protection hidden="1"/>
    </xf>
    <xf numFmtId="0" fontId="2" fillId="0" borderId="17" xfId="0" applyFont="1" applyBorder="1" applyAlignment="1" applyProtection="1">
      <alignment/>
      <protection hidden="1"/>
    </xf>
    <xf numFmtId="37" fontId="2" fillId="0" borderId="18" xfId="46" applyNumberFormat="1" applyFont="1" applyBorder="1" applyAlignment="1" applyProtection="1">
      <alignment/>
      <protection locked="0"/>
    </xf>
    <xf numFmtId="0" fontId="2" fillId="0" borderId="14" xfId="0" applyFont="1" applyBorder="1" applyAlignment="1" applyProtection="1">
      <alignment/>
      <protection hidden="1"/>
    </xf>
    <xf numFmtId="0" fontId="2" fillId="0" borderId="12" xfId="0" applyFont="1" applyFill="1" applyBorder="1" applyAlignment="1" applyProtection="1">
      <alignment/>
      <protection hidden="1"/>
    </xf>
    <xf numFmtId="0" fontId="0" fillId="0" borderId="13" xfId="0" applyBorder="1" applyAlignment="1">
      <alignment/>
    </xf>
    <xf numFmtId="41" fontId="2" fillId="0" borderId="17" xfId="0" applyNumberFormat="1" applyFont="1" applyBorder="1" applyAlignment="1" applyProtection="1">
      <alignment/>
      <protection locked="0"/>
    </xf>
    <xf numFmtId="41" fontId="2" fillId="0" borderId="18" xfId="0" applyNumberFormat="1" applyFont="1" applyBorder="1" applyAlignment="1" applyProtection="1">
      <alignment/>
      <protection locked="0"/>
    </xf>
    <xf numFmtId="0" fontId="2" fillId="0" borderId="14" xfId="0" applyFont="1" applyBorder="1" applyAlignment="1" applyProtection="1">
      <alignment wrapText="1"/>
      <protection hidden="1"/>
    </xf>
    <xf numFmtId="41" fontId="2" fillId="0" borderId="14" xfId="0" applyNumberFormat="1" applyFont="1" applyBorder="1" applyAlignment="1" applyProtection="1">
      <alignment/>
      <protection locked="0"/>
    </xf>
    <xf numFmtId="9" fontId="2" fillId="0" borderId="15" xfId="50" applyFont="1" applyBorder="1" applyAlignment="1" applyProtection="1">
      <alignment horizontal="center"/>
      <protection locked="0"/>
    </xf>
    <xf numFmtId="9" fontId="3" fillId="16" borderId="15" xfId="0" applyNumberFormat="1" applyFont="1" applyFill="1" applyBorder="1" applyAlignment="1" applyProtection="1">
      <alignment horizontal="center"/>
      <protection locked="0"/>
    </xf>
    <xf numFmtId="9" fontId="2" fillId="0" borderId="21" xfId="0" applyNumberFormat="1" applyFont="1" applyFill="1" applyBorder="1" applyAlignment="1" applyProtection="1">
      <alignment/>
      <protection hidden="1"/>
    </xf>
    <xf numFmtId="179" fontId="13" fillId="19" borderId="0" xfId="0" applyNumberFormat="1" applyFont="1" applyFill="1" applyBorder="1" applyAlignment="1" applyProtection="1">
      <alignment/>
      <protection locked="0"/>
    </xf>
    <xf numFmtId="0" fontId="31" fillId="0" borderId="0" xfId="0" applyFont="1" applyFill="1" applyBorder="1" applyAlignment="1" applyProtection="1">
      <alignment/>
      <protection locked="0"/>
    </xf>
    <xf numFmtId="179" fontId="0" fillId="0" borderId="16" xfId="0" applyNumberFormat="1" applyFont="1" applyFill="1" applyBorder="1" applyAlignment="1" applyProtection="1">
      <alignment/>
      <protection locked="0"/>
    </xf>
    <xf numFmtId="179" fontId="0" fillId="0" borderId="10" xfId="0" applyNumberFormat="1" applyFont="1" applyFill="1" applyBorder="1" applyAlignment="1" applyProtection="1">
      <alignment/>
      <protection locked="0"/>
    </xf>
    <xf numFmtId="0" fontId="2" fillId="0" borderId="11" xfId="0" applyFont="1" applyFill="1" applyBorder="1" applyAlignment="1" applyProtection="1">
      <alignment/>
      <protection locked="0"/>
    </xf>
    <xf numFmtId="179" fontId="0" fillId="0" borderId="14" xfId="0" applyNumberFormat="1" applyFont="1" applyFill="1" applyBorder="1" applyAlignment="1" applyProtection="1">
      <alignment/>
      <protection locked="0"/>
    </xf>
    <xf numFmtId="0" fontId="2" fillId="0" borderId="10" xfId="0" applyFont="1" applyBorder="1" applyAlignment="1" applyProtection="1">
      <alignment horizontal="left"/>
      <protection locked="0"/>
    </xf>
    <xf numFmtId="0" fontId="2" fillId="0" borderId="10" xfId="0" applyFont="1" applyFill="1" applyBorder="1" applyAlignment="1" applyProtection="1">
      <alignment/>
      <protection locked="0"/>
    </xf>
    <xf numFmtId="0" fontId="30" fillId="0" borderId="0" xfId="0" applyFont="1" applyBorder="1" applyAlignment="1" applyProtection="1">
      <alignment/>
      <protection locked="0"/>
    </xf>
    <xf numFmtId="171" fontId="31" fillId="0" borderId="0" xfId="0" applyNumberFormat="1" applyFont="1" applyBorder="1" applyAlignment="1" applyProtection="1">
      <alignment/>
      <protection locked="0"/>
    </xf>
    <xf numFmtId="0" fontId="30" fillId="0" borderId="11" xfId="0" applyFont="1" applyBorder="1" applyAlignment="1" applyProtection="1">
      <alignment/>
      <protection locked="0"/>
    </xf>
    <xf numFmtId="186" fontId="32" fillId="0" borderId="0" xfId="0" applyNumberFormat="1" applyFont="1" applyBorder="1" applyAlignment="1" applyProtection="1">
      <alignment/>
      <protection locked="0"/>
    </xf>
    <xf numFmtId="0" fontId="31" fillId="0" borderId="0" xfId="0" applyFont="1" applyBorder="1" applyAlignment="1" applyProtection="1">
      <alignment horizontal="center" vertical="center"/>
      <protection locked="0"/>
    </xf>
    <xf numFmtId="41" fontId="30" fillId="0" borderId="0" xfId="46" applyFont="1" applyBorder="1" applyAlignment="1" applyProtection="1">
      <alignment/>
      <protection locked="0"/>
    </xf>
    <xf numFmtId="41" fontId="30" fillId="0" borderId="15" xfId="46" applyFont="1" applyBorder="1" applyAlignment="1" applyProtection="1">
      <alignment/>
      <protection locked="0"/>
    </xf>
    <xf numFmtId="41" fontId="3" fillId="0" borderId="16" xfId="50" applyNumberFormat="1" applyFont="1" applyBorder="1" applyAlignment="1" applyProtection="1">
      <alignment horizontal="center"/>
      <protection locked="0"/>
    </xf>
    <xf numFmtId="41" fontId="3" fillId="0" borderId="17" xfId="50" applyNumberFormat="1" applyFont="1" applyBorder="1" applyAlignment="1" applyProtection="1">
      <alignment horizontal="center"/>
      <protection locked="0"/>
    </xf>
    <xf numFmtId="41" fontId="3" fillId="0" borderId="18" xfId="50" applyNumberFormat="1" applyFont="1" applyBorder="1" applyAlignment="1" applyProtection="1">
      <alignment horizontal="center"/>
      <protection locked="0"/>
    </xf>
    <xf numFmtId="41" fontId="2" fillId="0" borderId="10" xfId="50" applyNumberFormat="1" applyFont="1" applyBorder="1" applyAlignment="1" applyProtection="1">
      <alignment horizontal="center"/>
      <protection locked="0"/>
    </xf>
    <xf numFmtId="171" fontId="3" fillId="0" borderId="12" xfId="0" applyNumberFormat="1" applyFont="1" applyBorder="1" applyAlignment="1" applyProtection="1">
      <alignment/>
      <protection locked="0"/>
    </xf>
    <xf numFmtId="0" fontId="31" fillId="0" borderId="22" xfId="0" applyFont="1" applyBorder="1" applyAlignment="1" applyProtection="1">
      <alignment/>
      <protection locked="0"/>
    </xf>
    <xf numFmtId="0" fontId="30" fillId="0" borderId="23" xfId="0" applyFont="1" applyBorder="1" applyAlignment="1" applyProtection="1">
      <alignment/>
      <protection locked="0"/>
    </xf>
    <xf numFmtId="171" fontId="31" fillId="0" borderId="23" xfId="0" applyNumberFormat="1" applyFont="1" applyBorder="1" applyAlignment="1" applyProtection="1">
      <alignment/>
      <protection locked="0"/>
    </xf>
    <xf numFmtId="0" fontId="30" fillId="0" borderId="24" xfId="0" applyFont="1" applyBorder="1" applyAlignment="1" applyProtection="1">
      <alignment/>
      <protection locked="0"/>
    </xf>
    <xf numFmtId="0" fontId="2" fillId="0" borderId="25" xfId="0" applyFont="1" applyBorder="1" applyAlignment="1" applyProtection="1">
      <alignment horizontal="left"/>
      <protection locked="0"/>
    </xf>
    <xf numFmtId="0" fontId="2" fillId="0" borderId="26" xfId="0" applyFont="1" applyBorder="1" applyAlignment="1" applyProtection="1">
      <alignment/>
      <protection locked="0"/>
    </xf>
    <xf numFmtId="0" fontId="30" fillId="0" borderId="27" xfId="0" applyFont="1" applyBorder="1" applyAlignment="1" applyProtection="1">
      <alignment/>
      <protection locked="0"/>
    </xf>
    <xf numFmtId="0" fontId="2" fillId="0" borderId="28" xfId="0" applyFont="1" applyBorder="1" applyAlignment="1" applyProtection="1">
      <alignment/>
      <protection locked="0"/>
    </xf>
    <xf numFmtId="0" fontId="2" fillId="0" borderId="28" xfId="0" applyFont="1" applyFill="1" applyBorder="1" applyAlignment="1" applyProtection="1">
      <alignment/>
      <protection locked="0"/>
    </xf>
    <xf numFmtId="0" fontId="30" fillId="0" borderId="29" xfId="0" applyFont="1" applyBorder="1" applyAlignment="1" applyProtection="1">
      <alignment/>
      <protection locked="0"/>
    </xf>
    <xf numFmtId="0" fontId="30" fillId="0" borderId="30" xfId="0" applyFont="1" applyBorder="1" applyAlignment="1" applyProtection="1">
      <alignment/>
      <protection locked="0"/>
    </xf>
    <xf numFmtId="41" fontId="30" fillId="0" borderId="30" xfId="46" applyFont="1" applyBorder="1" applyAlignment="1" applyProtection="1">
      <alignment/>
      <protection locked="0"/>
    </xf>
    <xf numFmtId="0" fontId="30" fillId="0" borderId="31" xfId="0" applyFont="1" applyBorder="1" applyAlignment="1" applyProtection="1">
      <alignment/>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179" fontId="1" fillId="0" borderId="12" xfId="0" applyNumberFormat="1" applyFont="1" applyBorder="1" applyAlignment="1" applyProtection="1">
      <alignment/>
      <protection locked="0"/>
    </xf>
    <xf numFmtId="179" fontId="1" fillId="22" borderId="17" xfId="0" applyNumberFormat="1" applyFont="1" applyFill="1" applyBorder="1" applyAlignment="1" applyProtection="1">
      <alignment horizontal="right"/>
      <protection locked="0"/>
    </xf>
    <xf numFmtId="0" fontId="4" fillId="0" borderId="34" xfId="0" applyFont="1" applyFill="1" applyBorder="1" applyAlignment="1" applyProtection="1">
      <alignment horizontal="center" vertical="center"/>
      <protection locked="0"/>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2" fillId="0" borderId="16" xfId="0" applyFont="1" applyBorder="1" applyAlignment="1" applyProtection="1">
      <alignment/>
      <protection hidden="1"/>
    </xf>
    <xf numFmtId="183" fontId="2" fillId="0" borderId="0" xfId="46" applyNumberFormat="1" applyFont="1" applyBorder="1" applyAlignment="1" applyProtection="1">
      <alignment/>
      <protection hidden="1"/>
    </xf>
    <xf numFmtId="0" fontId="2" fillId="0" borderId="18" xfId="0" applyFont="1" applyBorder="1" applyAlignment="1" applyProtection="1">
      <alignment/>
      <protection hidden="1"/>
    </xf>
    <xf numFmtId="0" fontId="2" fillId="0" borderId="37" xfId="0" applyFont="1" applyBorder="1" applyAlignment="1" applyProtection="1">
      <alignment/>
      <protection locked="0"/>
    </xf>
    <xf numFmtId="179" fontId="29" fillId="0" borderId="16" xfId="0" applyNumberFormat="1" applyFont="1" applyFill="1" applyBorder="1" applyAlignment="1" applyProtection="1">
      <alignment/>
      <protection locked="0"/>
    </xf>
    <xf numFmtId="179" fontId="29" fillId="0" borderId="10" xfId="0" applyNumberFormat="1" applyFont="1" applyFill="1" applyBorder="1" applyAlignment="1" applyProtection="1">
      <alignment/>
      <protection locked="0"/>
    </xf>
    <xf numFmtId="173" fontId="2" fillId="0" borderId="10" xfId="0" applyNumberFormat="1" applyFont="1" applyBorder="1" applyAlignment="1" applyProtection="1">
      <alignment/>
      <protection locked="0"/>
    </xf>
    <xf numFmtId="41" fontId="3" fillId="0" borderId="10" xfId="0" applyNumberFormat="1" applyFont="1" applyBorder="1" applyAlignment="1" applyProtection="1">
      <alignment/>
      <protection hidden="1"/>
    </xf>
    <xf numFmtId="41" fontId="2" fillId="0" borderId="10" xfId="0" applyNumberFormat="1" applyFont="1" applyBorder="1" applyAlignment="1" applyProtection="1">
      <alignment/>
      <protection locked="0"/>
    </xf>
    <xf numFmtId="173" fontId="2" fillId="0" borderId="34" xfId="0" applyNumberFormat="1" applyFont="1" applyBorder="1" applyAlignment="1" applyProtection="1">
      <alignment horizontal="left"/>
      <protection hidden="1"/>
    </xf>
    <xf numFmtId="41" fontId="2" fillId="0" borderId="32" xfId="0" applyNumberFormat="1" applyFont="1" applyBorder="1" applyAlignment="1" applyProtection="1">
      <alignment/>
      <protection hidden="1"/>
    </xf>
    <xf numFmtId="41" fontId="2" fillId="0" borderId="11" xfId="46" applyFont="1" applyBorder="1" applyAlignment="1" applyProtection="1">
      <alignment horizontal="right"/>
      <protection hidden="1"/>
    </xf>
    <xf numFmtId="179" fontId="0" fillId="0" borderId="12" xfId="0" applyNumberFormat="1" applyFont="1" applyBorder="1" applyAlignment="1" applyProtection="1">
      <alignment/>
      <protection locked="0"/>
    </xf>
    <xf numFmtId="183" fontId="2" fillId="0" borderId="15" xfId="46" applyNumberFormat="1" applyFont="1" applyBorder="1" applyAlignment="1" applyProtection="1">
      <alignment/>
      <protection hidden="1"/>
    </xf>
    <xf numFmtId="171" fontId="3" fillId="0" borderId="11" xfId="62" applyFont="1" applyFill="1" applyBorder="1" applyAlignment="1" applyProtection="1">
      <alignment horizontal="center"/>
      <protection hidden="1"/>
    </xf>
    <xf numFmtId="179" fontId="1" fillId="7" borderId="0" xfId="0" applyNumberFormat="1" applyFont="1" applyFill="1" applyBorder="1" applyAlignment="1" applyProtection="1">
      <alignment horizontal="right"/>
      <protection locked="0"/>
    </xf>
    <xf numFmtId="41" fontId="2" fillId="0" borderId="10" xfId="0" applyNumberFormat="1" applyFont="1" applyBorder="1" applyAlignment="1" applyProtection="1">
      <alignment horizontal="right"/>
      <protection locked="0"/>
    </xf>
    <xf numFmtId="0" fontId="31" fillId="0" borderId="10" xfId="0" applyFont="1" applyFill="1" applyBorder="1" applyAlignment="1" applyProtection="1">
      <alignment horizontal="center" vertical="center"/>
      <protection locked="0"/>
    </xf>
    <xf numFmtId="179" fontId="3" fillId="0" borderId="12" xfId="0" applyNumberFormat="1" applyFont="1" applyBorder="1" applyAlignment="1" applyProtection="1">
      <alignment/>
      <protection hidden="1"/>
    </xf>
    <xf numFmtId="173" fontId="3" fillId="0" borderId="14" xfId="0" applyNumberFormat="1" applyFont="1" applyBorder="1" applyAlignment="1" applyProtection="1">
      <alignment horizontal="left"/>
      <protection hidden="1"/>
    </xf>
    <xf numFmtId="41" fontId="9" fillId="0" borderId="10" xfId="0" applyNumberFormat="1" applyFont="1" applyBorder="1" applyAlignment="1" applyProtection="1">
      <alignment/>
      <protection locked="0"/>
    </xf>
    <xf numFmtId="0" fontId="3" fillId="0" borderId="14" xfId="0" applyFont="1" applyBorder="1" applyAlignment="1" applyProtection="1">
      <alignment horizontal="center"/>
      <protection locked="0"/>
    </xf>
    <xf numFmtId="0" fontId="2" fillId="0" borderId="11" xfId="0" applyFont="1" applyBorder="1" applyAlignment="1" applyProtection="1">
      <alignment horizontal="center"/>
      <protection locked="0"/>
    </xf>
    <xf numFmtId="41" fontId="3" fillId="0" borderId="10" xfId="46" applyFont="1" applyBorder="1" applyAlignment="1" applyProtection="1">
      <alignment horizontal="center"/>
      <protection locked="0"/>
    </xf>
    <xf numFmtId="171" fontId="2" fillId="0" borderId="10" xfId="0" applyNumberFormat="1" applyFont="1" applyBorder="1" applyAlignment="1" applyProtection="1">
      <alignment/>
      <protection locked="0"/>
    </xf>
    <xf numFmtId="183" fontId="2" fillId="0" borderId="21" xfId="0" applyNumberFormat="1" applyFont="1" applyBorder="1" applyAlignment="1" applyProtection="1">
      <alignment/>
      <protection hidden="1"/>
    </xf>
    <xf numFmtId="179" fontId="1" fillId="0" borderId="38" xfId="0" applyNumberFormat="1" applyFont="1" applyBorder="1" applyAlignment="1" applyProtection="1">
      <alignment/>
      <protection locked="0"/>
    </xf>
    <xf numFmtId="179" fontId="1" fillId="0" borderId="39" xfId="0" applyNumberFormat="1" applyFont="1" applyBorder="1" applyAlignment="1" applyProtection="1">
      <alignment/>
      <protection locked="0"/>
    </xf>
    <xf numFmtId="171" fontId="3" fillId="0" borderId="39" xfId="0" applyNumberFormat="1" applyFont="1" applyBorder="1" applyAlignment="1" applyProtection="1">
      <alignment/>
      <protection locked="0"/>
    </xf>
    <xf numFmtId="173" fontId="3" fillId="16" borderId="15" xfId="0" applyNumberFormat="1" applyFont="1" applyFill="1" applyBorder="1" applyAlignment="1" applyProtection="1">
      <alignment horizontal="left"/>
      <protection hidden="1"/>
    </xf>
    <xf numFmtId="179" fontId="1" fillId="0" borderId="39" xfId="0" applyNumberFormat="1" applyFont="1" applyBorder="1" applyAlignment="1" applyProtection="1">
      <alignment vertical="center"/>
      <protection locked="0"/>
    </xf>
    <xf numFmtId="176" fontId="2" fillId="0" borderId="11" xfId="0" applyNumberFormat="1" applyFont="1" applyFill="1" applyBorder="1" applyAlignment="1" applyProtection="1">
      <alignment/>
      <protection hidden="1"/>
    </xf>
    <xf numFmtId="10" fontId="3" fillId="16" borderId="15" xfId="0" applyNumberFormat="1" applyFont="1" applyFill="1" applyBorder="1" applyAlignment="1" applyProtection="1">
      <alignment horizontal="center"/>
      <protection locked="0"/>
    </xf>
    <xf numFmtId="191" fontId="2" fillId="0" borderId="21" xfId="0" applyNumberFormat="1" applyFont="1" applyFill="1" applyBorder="1" applyAlignment="1" applyProtection="1">
      <alignment/>
      <protection hidden="1"/>
    </xf>
    <xf numFmtId="179" fontId="1" fillId="0" borderId="37" xfId="0" applyNumberFormat="1" applyFont="1" applyBorder="1" applyAlignment="1" applyProtection="1">
      <alignment/>
      <protection locked="0"/>
    </xf>
    <xf numFmtId="37" fontId="2" fillId="0" borderId="17" xfId="46" applyNumberFormat="1" applyFont="1" applyBorder="1" applyAlignment="1" applyProtection="1">
      <alignment/>
      <protection locked="0"/>
    </xf>
    <xf numFmtId="37" fontId="2" fillId="0" borderId="39" xfId="46" applyNumberFormat="1" applyFont="1" applyBorder="1" applyAlignment="1" applyProtection="1">
      <alignment/>
      <protection locked="0"/>
    </xf>
    <xf numFmtId="0" fontId="0" fillId="0" borderId="39" xfId="0" applyBorder="1" applyAlignment="1">
      <alignment/>
    </xf>
    <xf numFmtId="187" fontId="2" fillId="0" borderId="19" xfId="0" applyNumberFormat="1" applyFont="1" applyBorder="1" applyAlignment="1" applyProtection="1">
      <alignment/>
      <protection hidden="1"/>
    </xf>
    <xf numFmtId="0" fontId="0" fillId="0" borderId="12" xfId="0" applyBorder="1" applyAlignment="1">
      <alignment/>
    </xf>
    <xf numFmtId="171" fontId="3" fillId="0" borderId="39" xfId="0" applyNumberFormat="1" applyFont="1" applyBorder="1" applyAlignment="1" applyProtection="1">
      <alignment horizontal="center"/>
      <protection locked="0"/>
    </xf>
    <xf numFmtId="171" fontId="31" fillId="0" borderId="37" xfId="0" applyNumberFormat="1" applyFont="1" applyBorder="1" applyAlignment="1" applyProtection="1">
      <alignment/>
      <protection locked="0"/>
    </xf>
    <xf numFmtId="3" fontId="21" fillId="0" borderId="0" xfId="0" applyNumberFormat="1" applyFont="1" applyAlignment="1" applyProtection="1">
      <alignment/>
      <protection locked="0"/>
    </xf>
    <xf numFmtId="179" fontId="1" fillId="25" borderId="16" xfId="0" applyNumberFormat="1" applyFont="1" applyFill="1" applyBorder="1" applyAlignment="1" applyProtection="1">
      <alignment horizontal="right"/>
      <protection locked="0"/>
    </xf>
    <xf numFmtId="179" fontId="1" fillId="25" borderId="17" xfId="0" applyNumberFormat="1" applyFont="1" applyFill="1" applyBorder="1" applyAlignment="1" applyProtection="1">
      <alignment horizontal="right"/>
      <protection locked="0"/>
    </xf>
    <xf numFmtId="179" fontId="1" fillId="25" borderId="18" xfId="0" applyNumberFormat="1" applyFont="1" applyFill="1" applyBorder="1" applyAlignment="1" applyProtection="1">
      <alignment horizontal="right"/>
      <protection locked="0"/>
    </xf>
    <xf numFmtId="179" fontId="1" fillId="25" borderId="0" xfId="0" applyNumberFormat="1" applyFont="1" applyFill="1" applyAlignment="1" applyProtection="1">
      <alignment/>
      <protection locked="0"/>
    </xf>
    <xf numFmtId="3" fontId="33" fillId="0" borderId="0" xfId="0" applyNumberFormat="1" applyFont="1" applyAlignment="1" applyProtection="1">
      <alignment/>
      <protection locked="0"/>
    </xf>
    <xf numFmtId="179" fontId="1" fillId="0" borderId="10" xfId="0" applyNumberFormat="1" applyFont="1" applyBorder="1" applyAlignment="1" applyProtection="1">
      <alignment/>
      <protection locked="0"/>
    </xf>
    <xf numFmtId="179" fontId="1" fillId="0" borderId="11" xfId="0" applyNumberFormat="1" applyFont="1" applyBorder="1" applyAlignment="1" applyProtection="1">
      <alignment/>
      <protection locked="0"/>
    </xf>
    <xf numFmtId="179" fontId="1" fillId="10" borderId="0" xfId="0" applyNumberFormat="1" applyFont="1" applyFill="1" applyAlignment="1" applyProtection="1">
      <alignment/>
      <protection locked="0"/>
    </xf>
    <xf numFmtId="179" fontId="1" fillId="0" borderId="14" xfId="0" applyNumberFormat="1" applyFont="1" applyBorder="1" applyAlignment="1" applyProtection="1">
      <alignment/>
      <protection locked="0"/>
    </xf>
    <xf numFmtId="179" fontId="1" fillId="0" borderId="13" xfId="0" applyNumberFormat="1" applyFont="1" applyBorder="1" applyAlignment="1" applyProtection="1">
      <alignment/>
      <protection locked="0"/>
    </xf>
    <xf numFmtId="179" fontId="1" fillId="22" borderId="16" xfId="0" applyNumberFormat="1" applyFont="1" applyFill="1" applyBorder="1" applyAlignment="1" applyProtection="1">
      <alignment horizontal="right"/>
      <protection locked="0"/>
    </xf>
    <xf numFmtId="179" fontId="1" fillId="22" borderId="18" xfId="0" applyNumberFormat="1" applyFont="1" applyFill="1" applyBorder="1" applyAlignment="1" applyProtection="1">
      <alignment horizontal="right"/>
      <protection locked="0"/>
    </xf>
    <xf numFmtId="179" fontId="1" fillId="22" borderId="0" xfId="0" applyNumberFormat="1" applyFont="1" applyFill="1" applyAlignment="1" applyProtection="1">
      <alignment/>
      <protection locked="0"/>
    </xf>
    <xf numFmtId="3" fontId="34" fillId="0" borderId="0" xfId="0" applyNumberFormat="1" applyFont="1" applyAlignment="1" applyProtection="1">
      <alignment/>
      <protection locked="0"/>
    </xf>
    <xf numFmtId="179" fontId="21" fillId="0" borderId="0" xfId="0" applyNumberFormat="1" applyFont="1" applyAlignment="1" applyProtection="1">
      <alignment/>
      <protection locked="0"/>
    </xf>
    <xf numFmtId="179" fontId="0" fillId="0" borderId="10" xfId="0" applyNumberFormat="1" applyFont="1" applyBorder="1" applyAlignment="1" applyProtection="1">
      <alignment/>
      <protection locked="0"/>
    </xf>
    <xf numFmtId="179" fontId="0" fillId="0" borderId="11" xfId="0" applyNumberFormat="1" applyFont="1" applyBorder="1" applyAlignment="1" applyProtection="1">
      <alignment/>
      <protection locked="0"/>
    </xf>
    <xf numFmtId="179" fontId="0" fillId="0" borderId="14" xfId="0" applyNumberFormat="1" applyFont="1" applyBorder="1" applyAlignment="1" applyProtection="1">
      <alignment/>
      <protection locked="0"/>
    </xf>
    <xf numFmtId="179" fontId="0" fillId="0" borderId="13" xfId="0" applyNumberFormat="1" applyFont="1" applyBorder="1" applyAlignment="1" applyProtection="1">
      <alignment/>
      <protection locked="0"/>
    </xf>
    <xf numFmtId="179" fontId="1" fillId="7" borderId="10" xfId="0" applyNumberFormat="1" applyFont="1" applyFill="1" applyBorder="1" applyAlignment="1" applyProtection="1">
      <alignment horizontal="right"/>
      <protection locked="0"/>
    </xf>
    <xf numFmtId="179" fontId="1" fillId="7" borderId="11" xfId="0" applyNumberFormat="1" applyFont="1" applyFill="1" applyBorder="1" applyAlignment="1" applyProtection="1">
      <alignment horizontal="right"/>
      <protection locked="0"/>
    </xf>
    <xf numFmtId="179" fontId="1" fillId="7" borderId="0" xfId="0" applyNumberFormat="1" applyFont="1" applyFill="1" applyAlignment="1" applyProtection="1">
      <alignment horizontal="right"/>
      <protection locked="0"/>
    </xf>
    <xf numFmtId="179" fontId="23" fillId="0" borderId="0" xfId="0" applyNumberFormat="1" applyFont="1" applyAlignment="1" applyProtection="1">
      <alignment horizontal="right"/>
      <protection locked="0"/>
    </xf>
    <xf numFmtId="179" fontId="1" fillId="0" borderId="0" xfId="0" applyNumberFormat="1" applyFont="1" applyAlignment="1" applyProtection="1" quotePrefix="1">
      <alignment/>
      <protection locked="0"/>
    </xf>
    <xf numFmtId="179" fontId="23" fillId="0" borderId="12" xfId="0" applyNumberFormat="1" applyFont="1" applyBorder="1" applyAlignment="1" applyProtection="1">
      <alignment horizontal="right"/>
      <protection locked="0"/>
    </xf>
    <xf numFmtId="41" fontId="0" fillId="0" borderId="13" xfId="46" applyFont="1" applyBorder="1" applyAlignment="1" applyProtection="1">
      <alignment/>
      <protection locked="0"/>
    </xf>
    <xf numFmtId="41" fontId="0" fillId="0" borderId="0" xfId="46" applyAlignment="1" applyProtection="1">
      <alignment/>
      <protection locked="0"/>
    </xf>
    <xf numFmtId="9" fontId="4" fillId="0" borderId="0" xfId="50" applyFont="1" applyBorder="1" applyAlignment="1" applyProtection="1">
      <alignment horizontal="center" vertical="center" wrapText="1"/>
      <protection locked="0"/>
    </xf>
    <xf numFmtId="188" fontId="4" fillId="0" borderId="0" xfId="50" applyNumberFormat="1" applyFont="1" applyBorder="1" applyAlignment="1" applyProtection="1">
      <alignment horizontal="center"/>
      <protection locked="0"/>
    </xf>
    <xf numFmtId="182" fontId="1" fillId="0" borderId="0" xfId="46" applyNumberFormat="1" applyFont="1" applyBorder="1" applyAlignment="1" applyProtection="1">
      <alignment/>
      <protection locked="0"/>
    </xf>
    <xf numFmtId="192" fontId="3" fillId="0" borderId="0" xfId="46" applyNumberFormat="1" applyFont="1" applyFill="1" applyBorder="1" applyAlignment="1" applyProtection="1">
      <alignment horizontal="center"/>
      <protection locked="0"/>
    </xf>
    <xf numFmtId="182" fontId="2" fillId="0" borderId="0" xfId="0" applyNumberFormat="1" applyFont="1" applyBorder="1" applyAlignment="1" applyProtection="1">
      <alignment horizontal="right"/>
      <protection hidden="1"/>
    </xf>
    <xf numFmtId="182" fontId="9" fillId="0" borderId="0" xfId="46" applyNumberFormat="1" applyFont="1" applyBorder="1" applyAlignment="1" applyProtection="1">
      <alignment/>
      <protection hidden="1"/>
    </xf>
    <xf numFmtId="182" fontId="3" fillId="16" borderId="13" xfId="46" applyNumberFormat="1" applyFont="1" applyFill="1" applyBorder="1" applyAlignment="1" applyProtection="1">
      <alignment horizontal="center" vertical="center"/>
      <protection hidden="1"/>
    </xf>
    <xf numFmtId="192" fontId="3" fillId="16" borderId="12" xfId="0" applyNumberFormat="1" applyFont="1" applyFill="1" applyBorder="1" applyAlignment="1" applyProtection="1">
      <alignment horizontal="center"/>
      <protection hidden="1"/>
    </xf>
    <xf numFmtId="182" fontId="3" fillId="16" borderId="13" xfId="46" applyNumberFormat="1" applyFont="1" applyFill="1" applyBorder="1" applyAlignment="1" applyProtection="1">
      <alignment horizontal="left" vertical="center"/>
      <protection hidden="1"/>
    </xf>
    <xf numFmtId="182" fontId="3" fillId="0" borderId="11" xfId="46" applyNumberFormat="1" applyFont="1" applyBorder="1" applyAlignment="1" applyProtection="1">
      <alignment horizontal="center"/>
      <protection locked="0"/>
    </xf>
    <xf numFmtId="182" fontId="9" fillId="0" borderId="11" xfId="0" applyNumberFormat="1" applyFont="1" applyBorder="1" applyAlignment="1" applyProtection="1">
      <alignment/>
      <protection locked="0"/>
    </xf>
    <xf numFmtId="171" fontId="13" fillId="0" borderId="0" xfId="62" applyFont="1" applyBorder="1" applyAlignment="1" applyProtection="1">
      <alignment/>
      <protection locked="0"/>
    </xf>
    <xf numFmtId="182" fontId="2" fillId="0" borderId="0" xfId="46" applyNumberFormat="1" applyFont="1" applyFill="1" applyBorder="1" applyAlignment="1" applyProtection="1">
      <alignment/>
      <protection hidden="1"/>
    </xf>
    <xf numFmtId="182" fontId="9" fillId="0" borderId="15" xfId="46" applyNumberFormat="1" applyFont="1" applyFill="1" applyBorder="1" applyAlignment="1" applyProtection="1">
      <alignment/>
      <protection hidden="1"/>
    </xf>
    <xf numFmtId="2" fontId="2" fillId="0" borderId="12" xfId="0" applyNumberFormat="1" applyFont="1" applyBorder="1" applyAlignment="1" applyProtection="1">
      <alignment horizontal="center"/>
      <protection locked="0"/>
    </xf>
    <xf numFmtId="193" fontId="2" fillId="0" borderId="0" xfId="0" applyNumberFormat="1" applyFont="1" applyBorder="1" applyAlignment="1" applyProtection="1">
      <alignment/>
      <protection locked="0"/>
    </xf>
    <xf numFmtId="182" fontId="3" fillId="16" borderId="21" xfId="46" applyNumberFormat="1" applyFont="1" applyFill="1" applyBorder="1" applyAlignment="1" applyProtection="1">
      <alignment horizontal="center"/>
      <protection hidden="1"/>
    </xf>
    <xf numFmtId="192" fontId="2" fillId="0" borderId="0" xfId="0" applyNumberFormat="1" applyFont="1" applyBorder="1" applyAlignment="1" applyProtection="1">
      <alignment/>
      <protection locked="0"/>
    </xf>
    <xf numFmtId="0" fontId="6" fillId="0" borderId="0" xfId="0" applyFont="1" applyBorder="1" applyAlignment="1" applyProtection="1">
      <alignment/>
      <protection locked="0"/>
    </xf>
    <xf numFmtId="2" fontId="19" fillId="0" borderId="0" xfId="0" applyNumberFormat="1" applyFont="1" applyFill="1" applyBorder="1" applyAlignment="1" applyProtection="1">
      <alignment horizontal="right"/>
      <protection locked="0"/>
    </xf>
    <xf numFmtId="41" fontId="1" fillId="0" borderId="0" xfId="46" applyFont="1" applyFill="1" applyBorder="1" applyAlignment="1" applyProtection="1">
      <alignment/>
      <protection locked="0"/>
    </xf>
    <xf numFmtId="2" fontId="2" fillId="0" borderId="0" xfId="0" applyNumberFormat="1" applyFont="1" applyFill="1" applyBorder="1" applyAlignment="1" applyProtection="1">
      <alignment/>
      <protection locked="0"/>
    </xf>
    <xf numFmtId="182" fontId="2" fillId="0" borderId="0" xfId="0" applyNumberFormat="1" applyFont="1" applyBorder="1" applyAlignment="1" applyProtection="1">
      <alignment/>
      <protection hidden="1"/>
    </xf>
    <xf numFmtId="182" fontId="2" fillId="0" borderId="15" xfId="0" applyNumberFormat="1" applyFont="1" applyBorder="1" applyAlignment="1" applyProtection="1">
      <alignment/>
      <protection hidden="1"/>
    </xf>
    <xf numFmtId="174" fontId="3" fillId="16" borderId="12" xfId="0" applyNumberFormat="1" applyFont="1" applyFill="1" applyBorder="1" applyAlignment="1" applyProtection="1">
      <alignment horizontal="center"/>
      <protection hidden="1"/>
    </xf>
    <xf numFmtId="174" fontId="3" fillId="0" borderId="0" xfId="0" applyNumberFormat="1" applyFont="1" applyBorder="1" applyAlignment="1" applyProtection="1">
      <alignment horizontal="center"/>
      <protection locked="0"/>
    </xf>
    <xf numFmtId="182" fontId="9" fillId="0" borderId="11" xfId="46" applyNumberFormat="1" applyFont="1" applyBorder="1" applyAlignment="1" applyProtection="1">
      <alignment/>
      <protection locked="0"/>
    </xf>
    <xf numFmtId="182" fontId="2" fillId="0" borderId="11" xfId="46" applyNumberFormat="1" applyFont="1" applyBorder="1" applyAlignment="1" applyProtection="1">
      <alignment/>
      <protection locked="0"/>
    </xf>
    <xf numFmtId="179" fontId="19" fillId="0" borderId="0" xfId="0" applyNumberFormat="1" applyFont="1" applyFill="1" applyBorder="1" applyAlignment="1" applyProtection="1">
      <alignment horizontal="left"/>
      <protection locked="0"/>
    </xf>
    <xf numFmtId="192" fontId="0" fillId="0" borderId="0" xfId="46" applyNumberFormat="1" applyFont="1" applyBorder="1" applyAlignment="1" applyProtection="1">
      <alignment/>
      <protection locked="0"/>
    </xf>
    <xf numFmtId="179" fontId="0" fillId="0" borderId="0" xfId="0" applyNumberFormat="1" applyFont="1" applyBorder="1" applyAlignment="1" applyProtection="1">
      <alignment horizontal="center"/>
      <protection locked="0"/>
    </xf>
    <xf numFmtId="192" fontId="0" fillId="0" borderId="12" xfId="0" applyNumberFormat="1" applyFont="1" applyBorder="1" applyAlignment="1" applyProtection="1">
      <alignment/>
      <protection locked="0"/>
    </xf>
    <xf numFmtId="192" fontId="0" fillId="0" borderId="0" xfId="46" applyNumberFormat="1" applyFont="1" applyBorder="1" applyAlignment="1" applyProtection="1">
      <alignment horizontal="right"/>
      <protection locked="0"/>
    </xf>
    <xf numFmtId="192" fontId="4" fillId="0" borderId="0" xfId="0" applyNumberFormat="1" applyFont="1" applyBorder="1" applyAlignment="1" applyProtection="1">
      <alignment horizontal="right"/>
      <protection locked="0"/>
    </xf>
    <xf numFmtId="192" fontId="0" fillId="0" borderId="0" xfId="0" applyNumberFormat="1" applyFont="1" applyBorder="1" applyAlignment="1" applyProtection="1">
      <alignment/>
      <protection locked="0"/>
    </xf>
    <xf numFmtId="192" fontId="4" fillId="0" borderId="0" xfId="0" applyNumberFormat="1" applyFont="1" applyBorder="1" applyAlignment="1" applyProtection="1">
      <alignment/>
      <protection locked="0"/>
    </xf>
    <xf numFmtId="9" fontId="9" fillId="0" borderId="15" xfId="50" applyFont="1" applyBorder="1" applyAlignment="1" applyProtection="1">
      <alignment/>
      <protection locked="0"/>
    </xf>
    <xf numFmtId="9" fontId="2" fillId="0" borderId="0" xfId="50" applyFont="1" applyAlignment="1" applyProtection="1">
      <alignment/>
      <protection locked="0"/>
    </xf>
    <xf numFmtId="182" fontId="0" fillId="0" borderId="0" xfId="46" applyNumberFormat="1" applyFont="1" applyAlignment="1" applyProtection="1">
      <alignment/>
      <protection locked="0"/>
    </xf>
    <xf numFmtId="0" fontId="2" fillId="0" borderId="14" xfId="0" applyFont="1" applyFill="1" applyBorder="1" applyAlignment="1" applyProtection="1">
      <alignment/>
      <protection hidden="1"/>
    </xf>
    <xf numFmtId="182" fontId="3" fillId="0" borderId="12" xfId="0" applyNumberFormat="1" applyFont="1" applyFill="1" applyBorder="1" applyAlignment="1" applyProtection="1">
      <alignment/>
      <protection hidden="1"/>
    </xf>
    <xf numFmtId="41" fontId="6" fillId="0" borderId="0" xfId="46" applyFont="1" applyAlignment="1" applyProtection="1">
      <alignment/>
      <protection locked="0"/>
    </xf>
    <xf numFmtId="41" fontId="13" fillId="0" borderId="0" xfId="46" applyFont="1" applyAlignment="1" applyProtection="1">
      <alignment/>
      <protection locked="0"/>
    </xf>
    <xf numFmtId="182" fontId="1" fillId="0" borderId="10" xfId="46" applyNumberFormat="1" applyFont="1" applyBorder="1" applyAlignment="1" applyProtection="1">
      <alignment/>
      <protection locked="0"/>
    </xf>
    <xf numFmtId="182" fontId="1" fillId="0" borderId="11" xfId="46" applyNumberFormat="1" applyFont="1" applyBorder="1" applyAlignment="1" applyProtection="1">
      <alignment/>
      <protection locked="0"/>
    </xf>
    <xf numFmtId="41" fontId="13" fillId="0" borderId="0" xfId="46" applyFont="1" applyBorder="1" applyAlignment="1" applyProtection="1">
      <alignment/>
      <protection locked="0"/>
    </xf>
    <xf numFmtId="43" fontId="22" fillId="0" borderId="0" xfId="0" applyNumberFormat="1" applyFont="1" applyBorder="1" applyAlignment="1" applyProtection="1">
      <alignment/>
      <protection locked="0"/>
    </xf>
    <xf numFmtId="179" fontId="1" fillId="4" borderId="0" xfId="0" applyNumberFormat="1" applyFont="1" applyFill="1" applyAlignment="1" applyProtection="1">
      <alignment/>
      <protection locked="0"/>
    </xf>
    <xf numFmtId="179" fontId="2" fillId="0" borderId="0" xfId="0" applyNumberFormat="1" applyFont="1" applyBorder="1" applyAlignment="1" applyProtection="1">
      <alignment/>
      <protection hidden="1"/>
    </xf>
    <xf numFmtId="179" fontId="1" fillId="0" borderId="0" xfId="0" applyNumberFormat="1" applyFont="1" applyFill="1" applyAlignment="1" applyProtection="1">
      <alignment horizontal="left"/>
      <protection locked="0"/>
    </xf>
    <xf numFmtId="179" fontId="2" fillId="0" borderId="19" xfId="0" applyNumberFormat="1" applyFont="1" applyBorder="1" applyAlignment="1" applyProtection="1">
      <alignment/>
      <protection hidden="1"/>
    </xf>
    <xf numFmtId="173" fontId="2" fillId="0" borderId="10" xfId="0" applyNumberFormat="1" applyFont="1" applyBorder="1" applyAlignment="1" applyProtection="1">
      <alignment horizontal="center" vertical="center" wrapText="1"/>
      <protection locked="0"/>
    </xf>
    <xf numFmtId="41" fontId="15" fillId="0" borderId="0" xfId="50" applyNumberFormat="1" applyFont="1" applyBorder="1" applyAlignment="1" applyProtection="1">
      <alignment vertical="top" wrapText="1"/>
      <protection locked="0"/>
    </xf>
    <xf numFmtId="41" fontId="15" fillId="0" borderId="12" xfId="50" applyNumberFormat="1" applyFont="1" applyBorder="1" applyAlignment="1" applyProtection="1">
      <alignment vertical="top" wrapText="1"/>
      <protection locked="0"/>
    </xf>
    <xf numFmtId="41" fontId="15" fillId="16" borderId="10" xfId="50" applyNumberFormat="1" applyFont="1" applyFill="1" applyBorder="1" applyAlignment="1" applyProtection="1">
      <alignment vertical="top"/>
      <protection locked="0"/>
    </xf>
    <xf numFmtId="41" fontId="15" fillId="16" borderId="0" xfId="50" applyNumberFormat="1" applyFont="1" applyFill="1" applyBorder="1" applyAlignment="1" applyProtection="1">
      <alignment vertical="top"/>
      <protection locked="0"/>
    </xf>
    <xf numFmtId="41" fontId="15" fillId="16" borderId="0" xfId="50" applyNumberFormat="1" applyFont="1" applyFill="1" applyBorder="1" applyAlignment="1" applyProtection="1">
      <alignment vertical="top" wrapText="1"/>
      <protection locked="0"/>
    </xf>
    <xf numFmtId="41" fontId="15" fillId="16" borderId="14" xfId="50" applyNumberFormat="1" applyFont="1" applyFill="1" applyBorder="1" applyAlignment="1" applyProtection="1">
      <alignment vertical="top"/>
      <protection locked="0"/>
    </xf>
    <xf numFmtId="41" fontId="15" fillId="16" borderId="12" xfId="50" applyNumberFormat="1" applyFont="1" applyFill="1" applyBorder="1" applyAlignment="1" applyProtection="1">
      <alignment vertical="top"/>
      <protection locked="0"/>
    </xf>
    <xf numFmtId="41" fontId="15" fillId="16" borderId="12" xfId="50" applyNumberFormat="1" applyFont="1" applyFill="1" applyBorder="1" applyAlignment="1" applyProtection="1">
      <alignment vertical="top" wrapText="1"/>
      <protection locked="0"/>
    </xf>
    <xf numFmtId="41" fontId="15" fillId="16" borderId="11" xfId="50" applyNumberFormat="1" applyFont="1" applyFill="1" applyBorder="1" applyAlignment="1" applyProtection="1">
      <alignment vertical="top" wrapText="1"/>
      <protection locked="0"/>
    </xf>
    <xf numFmtId="41" fontId="15" fillId="16" borderId="13" xfId="50" applyNumberFormat="1" applyFont="1" applyFill="1" applyBorder="1" applyAlignment="1" applyProtection="1">
      <alignment vertical="top" wrapText="1"/>
      <protection locked="0"/>
    </xf>
    <xf numFmtId="0" fontId="2" fillId="26" borderId="0" xfId="0" applyFont="1" applyFill="1" applyBorder="1" applyAlignment="1" applyProtection="1">
      <alignment/>
      <protection locked="0"/>
    </xf>
    <xf numFmtId="0" fontId="30" fillId="26" borderId="0" xfId="0" applyFont="1" applyFill="1" applyBorder="1" applyAlignment="1" applyProtection="1">
      <alignment/>
      <protection locked="0"/>
    </xf>
    <xf numFmtId="171" fontId="31" fillId="26" borderId="0" xfId="0" applyNumberFormat="1" applyFont="1" applyFill="1" applyBorder="1" applyAlignment="1" applyProtection="1">
      <alignment/>
      <protection locked="0"/>
    </xf>
    <xf numFmtId="41" fontId="30" fillId="26" borderId="0" xfId="46" applyFont="1" applyFill="1" applyBorder="1" applyAlignment="1" applyProtection="1">
      <alignment/>
      <protection locked="0"/>
    </xf>
    <xf numFmtId="186" fontId="32" fillId="26" borderId="0" xfId="0" applyNumberFormat="1" applyFont="1" applyFill="1" applyBorder="1" applyAlignment="1" applyProtection="1">
      <alignment/>
      <protection locked="0"/>
    </xf>
    <xf numFmtId="0" fontId="31" fillId="26" borderId="0" xfId="0" applyFont="1" applyFill="1" applyBorder="1" applyAlignment="1" applyProtection="1">
      <alignment horizontal="center" vertical="center"/>
      <protection locked="0"/>
    </xf>
    <xf numFmtId="0" fontId="30" fillId="26" borderId="11" xfId="0" applyFont="1" applyFill="1" applyBorder="1" applyAlignment="1" applyProtection="1">
      <alignment/>
      <protection locked="0"/>
    </xf>
    <xf numFmtId="0" fontId="2" fillId="26" borderId="0" xfId="0" applyFont="1" applyFill="1" applyBorder="1" applyAlignment="1" applyProtection="1">
      <alignment horizontal="left"/>
      <protection locked="0"/>
    </xf>
    <xf numFmtId="41" fontId="15" fillId="16" borderId="16" xfId="50" applyNumberFormat="1" applyFont="1" applyFill="1" applyBorder="1" applyAlignment="1" applyProtection="1">
      <alignment vertical="top"/>
      <protection locked="0"/>
    </xf>
    <xf numFmtId="41" fontId="15" fillId="16" borderId="17" xfId="50" applyNumberFormat="1" applyFont="1" applyFill="1" applyBorder="1" applyAlignment="1" applyProtection="1">
      <alignment vertical="top"/>
      <protection locked="0"/>
    </xf>
    <xf numFmtId="41" fontId="15" fillId="0" borderId="17" xfId="50" applyNumberFormat="1" applyFont="1" applyBorder="1" applyAlignment="1" applyProtection="1">
      <alignment vertical="top" wrapText="1"/>
      <protection locked="0"/>
    </xf>
    <xf numFmtId="41" fontId="15" fillId="16" borderId="18" xfId="50" applyNumberFormat="1" applyFont="1" applyFill="1" applyBorder="1" applyAlignment="1" applyProtection="1">
      <alignment vertical="top" wrapText="1"/>
      <protection locked="0"/>
    </xf>
    <xf numFmtId="0" fontId="31" fillId="26" borderId="16" xfId="0" applyFont="1" applyFill="1" applyBorder="1" applyAlignment="1" applyProtection="1">
      <alignment/>
      <protection locked="0"/>
    </xf>
    <xf numFmtId="0" fontId="30" fillId="26" borderId="17" xfId="0" applyFont="1" applyFill="1" applyBorder="1" applyAlignment="1" applyProtection="1">
      <alignment/>
      <protection locked="0"/>
    </xf>
    <xf numFmtId="0" fontId="30" fillId="26" borderId="10" xfId="0" applyFont="1" applyFill="1" applyBorder="1" applyAlignment="1" applyProtection="1">
      <alignment/>
      <protection locked="0"/>
    </xf>
    <xf numFmtId="0" fontId="30" fillId="26" borderId="14" xfId="0" applyFont="1" applyFill="1" applyBorder="1" applyAlignment="1" applyProtection="1">
      <alignment/>
      <protection locked="0"/>
    </xf>
    <xf numFmtId="0" fontId="30" fillId="26" borderId="12" xfId="0" applyFont="1" applyFill="1" applyBorder="1" applyAlignment="1" applyProtection="1">
      <alignment/>
      <protection locked="0"/>
    </xf>
    <xf numFmtId="41" fontId="30" fillId="26" borderId="12" xfId="46" applyFont="1" applyFill="1" applyBorder="1" applyAlignment="1" applyProtection="1">
      <alignment/>
      <protection locked="0"/>
    </xf>
    <xf numFmtId="0" fontId="30" fillId="26" borderId="13" xfId="0" applyFont="1" applyFill="1" applyBorder="1" applyAlignment="1" applyProtection="1">
      <alignment/>
      <protection locked="0"/>
    </xf>
    <xf numFmtId="0" fontId="2" fillId="26" borderId="17" xfId="0" applyFont="1" applyFill="1" applyBorder="1" applyAlignment="1" applyProtection="1">
      <alignment horizontal="left"/>
      <protection locked="0"/>
    </xf>
    <xf numFmtId="0" fontId="2" fillId="26" borderId="18" xfId="0" applyFont="1" applyFill="1" applyBorder="1" applyAlignment="1" applyProtection="1">
      <alignment/>
      <protection locked="0"/>
    </xf>
    <xf numFmtId="0" fontId="2" fillId="26" borderId="11" xfId="0" applyFont="1" applyFill="1" applyBorder="1" applyAlignment="1" applyProtection="1">
      <alignment/>
      <protection locked="0"/>
    </xf>
    <xf numFmtId="0" fontId="2" fillId="26" borderId="12" xfId="0" applyFont="1" applyFill="1" applyBorder="1" applyAlignment="1" applyProtection="1">
      <alignment/>
      <protection locked="0"/>
    </xf>
    <xf numFmtId="0" fontId="2" fillId="26" borderId="13" xfId="0" applyFont="1" applyFill="1" applyBorder="1" applyAlignment="1" applyProtection="1">
      <alignment/>
      <protection locked="0"/>
    </xf>
    <xf numFmtId="171" fontId="31" fillId="26" borderId="17" xfId="0" applyNumberFormat="1" applyFont="1" applyFill="1" applyBorder="1" applyAlignment="1" applyProtection="1">
      <alignment/>
      <protection locked="0"/>
    </xf>
    <xf numFmtId="182" fontId="2" fillId="0" borderId="11" xfId="46" applyNumberFormat="1" applyFont="1" applyBorder="1" applyAlignment="1" applyProtection="1">
      <alignment/>
      <protection hidden="1"/>
    </xf>
    <xf numFmtId="182" fontId="2" fillId="0" borderId="11" xfId="46" applyNumberFormat="1" applyFont="1" applyFill="1" applyBorder="1" applyAlignment="1" applyProtection="1">
      <alignment/>
      <protection hidden="1"/>
    </xf>
    <xf numFmtId="182" fontId="2" fillId="0" borderId="21" xfId="46" applyNumberFormat="1" applyFont="1" applyBorder="1" applyAlignment="1" applyProtection="1">
      <alignment horizontal="right"/>
      <protection hidden="1"/>
    </xf>
    <xf numFmtId="179" fontId="13" fillId="16" borderId="0" xfId="0" applyNumberFormat="1" applyFont="1" applyFill="1" applyBorder="1" applyAlignment="1" applyProtection="1">
      <alignment/>
      <protection locked="0"/>
    </xf>
    <xf numFmtId="0" fontId="2" fillId="16" borderId="0" xfId="0" applyFont="1" applyFill="1" applyBorder="1" applyAlignment="1" applyProtection="1">
      <alignment/>
      <protection locked="0"/>
    </xf>
    <xf numFmtId="0" fontId="2" fillId="16" borderId="0" xfId="0" applyFont="1" applyFill="1" applyAlignment="1" applyProtection="1">
      <alignment/>
      <protection locked="0"/>
    </xf>
    <xf numFmtId="173" fontId="3" fillId="0" borderId="10" xfId="0" applyNumberFormat="1" applyFont="1" applyBorder="1" applyAlignment="1" applyProtection="1">
      <alignment horizontal="center"/>
      <protection hidden="1"/>
    </xf>
    <xf numFmtId="0" fontId="2" fillId="0" borderId="30" xfId="0" applyFont="1" applyBorder="1" applyAlignment="1" applyProtection="1">
      <alignment/>
      <protection hidden="1"/>
    </xf>
    <xf numFmtId="0" fontId="2" fillId="0" borderId="32" xfId="0" applyFont="1" applyBorder="1" applyAlignment="1" applyProtection="1">
      <alignment wrapText="1"/>
      <protection hidden="1"/>
    </xf>
    <xf numFmtId="0" fontId="2" fillId="0" borderId="32" xfId="0" applyFont="1" applyBorder="1" applyAlignment="1" applyProtection="1">
      <alignment/>
      <protection hidden="1"/>
    </xf>
    <xf numFmtId="41" fontId="2" fillId="0" borderId="30" xfId="46" applyFont="1" applyBorder="1" applyAlignment="1" applyProtection="1">
      <alignment/>
      <protection hidden="1"/>
    </xf>
    <xf numFmtId="0" fontId="2" fillId="0" borderId="30" xfId="0" applyFont="1" applyFill="1" applyBorder="1" applyAlignment="1" applyProtection="1">
      <alignment/>
      <protection hidden="1"/>
    </xf>
    <xf numFmtId="182" fontId="3" fillId="0" borderId="30" xfId="0" applyNumberFormat="1" applyFont="1" applyFill="1" applyBorder="1" applyAlignment="1" applyProtection="1">
      <alignment/>
      <protection hidden="1"/>
    </xf>
    <xf numFmtId="173" fontId="3" fillId="0" borderId="40" xfId="0" applyNumberFormat="1" applyFont="1" applyBorder="1" applyAlignment="1" applyProtection="1">
      <alignment horizontal="left"/>
      <protection hidden="1"/>
    </xf>
    <xf numFmtId="0" fontId="2" fillId="0" borderId="24" xfId="0" applyFont="1" applyBorder="1" applyAlignment="1" applyProtection="1">
      <alignment/>
      <protection locked="0"/>
    </xf>
    <xf numFmtId="173" fontId="2" fillId="0" borderId="39" xfId="0" applyNumberFormat="1" applyFont="1" applyBorder="1" applyAlignment="1" applyProtection="1">
      <alignment horizontal="left"/>
      <protection hidden="1"/>
    </xf>
    <xf numFmtId="0" fontId="3" fillId="0" borderId="23" xfId="0" applyFont="1" applyBorder="1" applyAlignment="1" applyProtection="1">
      <alignment/>
      <protection locked="0"/>
    </xf>
    <xf numFmtId="43" fontId="3" fillId="0" borderId="24" xfId="63" applyFont="1" applyBorder="1" applyAlignment="1" applyProtection="1">
      <alignment/>
      <protection locked="0"/>
    </xf>
    <xf numFmtId="0" fontId="2" fillId="0" borderId="23" xfId="0" applyFont="1" applyBorder="1" applyAlignment="1" applyProtection="1">
      <alignment/>
      <protection locked="0"/>
    </xf>
    <xf numFmtId="182" fontId="9" fillId="0" borderId="21" xfId="46" applyNumberFormat="1" applyFont="1" applyFill="1" applyBorder="1" applyAlignment="1" applyProtection="1">
      <alignment/>
      <protection hidden="1"/>
    </xf>
    <xf numFmtId="41" fontId="2" fillId="0" borderId="32" xfId="0" applyNumberFormat="1" applyFont="1" applyBorder="1" applyAlignment="1" applyProtection="1">
      <alignment horizontal="right"/>
      <protection hidden="1"/>
    </xf>
    <xf numFmtId="179" fontId="13" fillId="24" borderId="19" xfId="0" applyNumberFormat="1" applyFont="1" applyFill="1" applyBorder="1" applyAlignment="1" applyProtection="1">
      <alignment/>
      <protection locked="0"/>
    </xf>
    <xf numFmtId="179" fontId="0" fillId="0" borderId="0" xfId="0" applyNumberFormat="1" applyFont="1" applyAlignment="1" applyProtection="1">
      <alignment/>
      <protection hidden="1"/>
    </xf>
    <xf numFmtId="1" fontId="0" fillId="0" borderId="0" xfId="0" applyNumberFormat="1" applyFont="1" applyAlignment="1" applyProtection="1">
      <alignment/>
      <protection hidden="1"/>
    </xf>
    <xf numFmtId="179" fontId="0" fillId="0" borderId="0" xfId="0" applyNumberFormat="1" applyFont="1" applyAlignment="1" applyProtection="1">
      <alignment/>
      <protection hidden="1" locked="0"/>
    </xf>
    <xf numFmtId="1" fontId="0" fillId="0" borderId="0" xfId="0" applyNumberFormat="1" applyFont="1" applyAlignment="1" applyProtection="1">
      <alignment/>
      <protection hidden="1" locked="0"/>
    </xf>
    <xf numFmtId="179" fontId="0" fillId="0" borderId="0" xfId="0" applyNumberFormat="1" applyFont="1" applyAlignment="1" applyProtection="1">
      <alignment/>
      <protection/>
    </xf>
    <xf numFmtId="179" fontId="2" fillId="0" borderId="19" xfId="0" applyNumberFormat="1" applyFont="1" applyFill="1" applyBorder="1" applyAlignment="1" applyProtection="1">
      <alignment/>
      <protection hidden="1"/>
    </xf>
    <xf numFmtId="43" fontId="2" fillId="0" borderId="11" xfId="63" applyFont="1" applyBorder="1" applyAlignment="1" applyProtection="1">
      <alignment/>
      <protection hidden="1"/>
    </xf>
    <xf numFmtId="43" fontId="3" fillId="0" borderId="18" xfId="0" applyNumberFormat="1" applyFont="1" applyBorder="1" applyAlignment="1" applyProtection="1">
      <alignment/>
      <protection hidden="1"/>
    </xf>
    <xf numFmtId="173" fontId="3" fillId="0" borderId="10" xfId="0" applyNumberFormat="1" applyFont="1" applyBorder="1" applyAlignment="1" applyProtection="1">
      <alignment horizontal="center" wrapText="1"/>
      <protection locked="0"/>
    </xf>
    <xf numFmtId="173" fontId="2" fillId="0" borderId="0" xfId="0" applyNumberFormat="1" applyFont="1" applyBorder="1" applyAlignment="1" applyProtection="1">
      <alignment horizontal="center" wrapText="1"/>
      <protection locked="0"/>
    </xf>
    <xf numFmtId="173" fontId="2" fillId="0" borderId="11" xfId="0" applyNumberFormat="1" applyFont="1" applyBorder="1" applyAlignment="1" applyProtection="1">
      <alignment horizontal="center" wrapText="1"/>
      <protection locked="0"/>
    </xf>
    <xf numFmtId="173" fontId="2" fillId="26" borderId="0" xfId="0" applyNumberFormat="1" applyFont="1" applyFill="1" applyAlignment="1" applyProtection="1">
      <alignment/>
      <protection locked="0"/>
    </xf>
    <xf numFmtId="0" fontId="2" fillId="24" borderId="0" xfId="0" applyFont="1" applyFill="1" applyAlignment="1" applyProtection="1">
      <alignment/>
      <protection locked="0"/>
    </xf>
    <xf numFmtId="0" fontId="2" fillId="27" borderId="0" xfId="0" applyFont="1" applyFill="1" applyAlignment="1" applyProtection="1">
      <alignment/>
      <protection locked="0"/>
    </xf>
    <xf numFmtId="173" fontId="3" fillId="19" borderId="10" xfId="0" applyNumberFormat="1" applyFont="1" applyFill="1" applyBorder="1" applyAlignment="1" applyProtection="1">
      <alignment horizontal="center" wrapText="1"/>
      <protection locked="0"/>
    </xf>
    <xf numFmtId="41" fontId="2" fillId="27" borderId="0" xfId="46" applyFont="1" applyFill="1" applyAlignment="1" applyProtection="1">
      <alignment/>
      <protection locked="0"/>
    </xf>
    <xf numFmtId="0" fontId="2" fillId="0" borderId="0" xfId="0" applyFont="1" applyFill="1" applyAlignment="1" applyProtection="1">
      <alignment/>
      <protection locked="0"/>
    </xf>
    <xf numFmtId="0" fontId="3" fillId="0" borderId="16" xfId="0" applyFont="1" applyBorder="1" applyAlignment="1" applyProtection="1">
      <alignment horizontal="center" wrapText="1"/>
      <protection locked="0"/>
    </xf>
    <xf numFmtId="0" fontId="2" fillId="0" borderId="17" xfId="0" applyFont="1" applyBorder="1" applyAlignment="1" applyProtection="1">
      <alignment/>
      <protection locked="0"/>
    </xf>
    <xf numFmtId="0" fontId="2" fillId="0" borderId="18"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3" fillId="0" borderId="17" xfId="0" applyFont="1" applyBorder="1" applyAlignment="1" applyProtection="1">
      <alignment horizontal="right"/>
      <protection locked="0"/>
    </xf>
    <xf numFmtId="41" fontId="2" fillId="0" borderId="18" xfId="46" applyFont="1" applyBorder="1" applyAlignment="1" applyProtection="1">
      <alignment horizontal="right"/>
      <protection locked="0"/>
    </xf>
    <xf numFmtId="0" fontId="2" fillId="0" borderId="0" xfId="0" applyFont="1" applyFill="1" applyAlignment="1" applyProtection="1">
      <alignment horizontal="right"/>
      <protection locked="0"/>
    </xf>
    <xf numFmtId="173" fontId="2" fillId="0" borderId="14" xfId="0" applyNumberFormat="1" applyFont="1" applyBorder="1" applyAlignment="1" applyProtection="1">
      <alignment horizontal="left" wrapText="1"/>
      <protection locked="0"/>
    </xf>
    <xf numFmtId="173" fontId="15" fillId="0" borderId="12" xfId="0" applyNumberFormat="1" applyFont="1" applyBorder="1" applyAlignment="1" applyProtection="1">
      <alignment horizontal="center"/>
      <protection locked="0"/>
    </xf>
    <xf numFmtId="192" fontId="3" fillId="0" borderId="13" xfId="0" applyNumberFormat="1" applyFont="1" applyBorder="1" applyAlignment="1" applyProtection="1">
      <alignment/>
      <protection locked="0"/>
    </xf>
    <xf numFmtId="0" fontId="15" fillId="0" borderId="12" xfId="0" applyFont="1" applyBorder="1" applyAlignment="1" applyProtection="1">
      <alignment horizontal="center"/>
      <protection locked="0"/>
    </xf>
    <xf numFmtId="192" fontId="3" fillId="0" borderId="13" xfId="46" applyNumberFormat="1" applyFont="1" applyBorder="1" applyAlignment="1" applyProtection="1">
      <alignment horizontal="right"/>
      <protection locked="0"/>
    </xf>
    <xf numFmtId="178" fontId="7" fillId="0" borderId="0" xfId="0" applyNumberFormat="1" applyFont="1" applyBorder="1" applyAlignment="1" applyProtection="1">
      <alignment/>
      <protection locked="0"/>
    </xf>
    <xf numFmtId="174" fontId="2" fillId="0" borderId="11" xfId="0" applyNumberFormat="1" applyFont="1" applyBorder="1" applyAlignment="1" applyProtection="1">
      <alignment/>
      <protection locked="0"/>
    </xf>
    <xf numFmtId="179" fontId="7" fillId="0" borderId="0" xfId="0" applyNumberFormat="1" applyFont="1" applyBorder="1" applyAlignment="1" applyProtection="1">
      <alignment horizontal="right"/>
      <protection locked="0"/>
    </xf>
    <xf numFmtId="41" fontId="3" fillId="0" borderId="11" xfId="46" applyFont="1" applyBorder="1" applyAlignment="1" applyProtection="1">
      <alignment horizontal="right"/>
      <protection locked="0"/>
    </xf>
    <xf numFmtId="184" fontId="2" fillId="0" borderId="0" xfId="0" applyNumberFormat="1" applyFont="1" applyBorder="1" applyAlignment="1" applyProtection="1">
      <alignment/>
      <protection hidden="1"/>
    </xf>
    <xf numFmtId="187" fontId="2" fillId="0" borderId="0" xfId="0" applyNumberFormat="1" applyFont="1" applyBorder="1" applyAlignment="1" applyProtection="1">
      <alignment horizontal="right"/>
      <protection hidden="1"/>
    </xf>
    <xf numFmtId="41" fontId="2" fillId="0" borderId="11" xfId="46" applyNumberFormat="1" applyFont="1" applyBorder="1" applyAlignment="1" applyProtection="1">
      <alignment horizontal="right"/>
      <protection locked="0"/>
    </xf>
    <xf numFmtId="41" fontId="2" fillId="27" borderId="0" xfId="46" applyFont="1" applyFill="1" applyAlignment="1" applyProtection="1">
      <alignment horizontal="center"/>
      <protection locked="0"/>
    </xf>
    <xf numFmtId="0" fontId="2" fillId="27" borderId="0" xfId="0" applyFont="1" applyFill="1" applyAlignment="1" applyProtection="1">
      <alignment horizontal="center"/>
      <protection locked="0"/>
    </xf>
    <xf numFmtId="184" fontId="2" fillId="0" borderId="12" xfId="0" applyNumberFormat="1" applyFont="1" applyBorder="1" applyAlignment="1" applyProtection="1">
      <alignment horizontal="right"/>
      <protection hidden="1"/>
    </xf>
    <xf numFmtId="173" fontId="3" fillId="0" borderId="10" xfId="0" applyNumberFormat="1" applyFont="1" applyBorder="1" applyAlignment="1" applyProtection="1">
      <alignment horizontal="left"/>
      <protection locked="0"/>
    </xf>
    <xf numFmtId="41" fontId="2" fillId="0" borderId="11" xfId="46" applyNumberFormat="1" applyFont="1" applyBorder="1" applyAlignment="1" applyProtection="1">
      <alignment/>
      <protection locked="0"/>
    </xf>
    <xf numFmtId="173" fontId="2" fillId="26" borderId="0" xfId="0" applyNumberFormat="1" applyFont="1" applyFill="1" applyAlignment="1" applyProtection="1">
      <alignment horizontal="right"/>
      <protection locked="0"/>
    </xf>
    <xf numFmtId="192" fontId="3" fillId="0" borderId="11" xfId="0" applyNumberFormat="1" applyFont="1" applyBorder="1" applyAlignment="1" applyProtection="1">
      <alignment/>
      <protection locked="0"/>
    </xf>
    <xf numFmtId="178" fontId="2" fillId="0" borderId="12" xfId="0" applyNumberFormat="1" applyFont="1" applyBorder="1" applyAlignment="1" applyProtection="1">
      <alignment/>
      <protection locked="0"/>
    </xf>
    <xf numFmtId="41" fontId="2" fillId="0" borderId="13" xfId="0" applyNumberFormat="1" applyFont="1" applyBorder="1" applyAlignment="1" applyProtection="1">
      <alignment/>
      <protection locked="0"/>
    </xf>
    <xf numFmtId="184" fontId="2" fillId="0" borderId="12" xfId="0" applyNumberFormat="1" applyFont="1" applyBorder="1" applyAlignment="1" applyProtection="1">
      <alignment/>
      <protection hidden="1"/>
    </xf>
    <xf numFmtId="178" fontId="2" fillId="0" borderId="0" xfId="0" applyNumberFormat="1" applyFont="1" applyBorder="1" applyAlignment="1" applyProtection="1">
      <alignment/>
      <protection locked="0"/>
    </xf>
    <xf numFmtId="173" fontId="2" fillId="0" borderId="10" xfId="0" applyNumberFormat="1" applyFont="1" applyBorder="1" applyAlignment="1" applyProtection="1">
      <alignment wrapText="1"/>
      <protection locked="0"/>
    </xf>
    <xf numFmtId="41" fontId="3" fillId="0" borderId="12" xfId="0" applyNumberFormat="1" applyFont="1" applyBorder="1" applyAlignment="1" applyProtection="1">
      <alignment/>
      <protection locked="0"/>
    </xf>
    <xf numFmtId="173" fontId="2" fillId="0" borderId="10" xfId="0" applyNumberFormat="1" applyFont="1" applyBorder="1" applyAlignment="1" applyProtection="1">
      <alignment horizontal="left"/>
      <protection locked="0"/>
    </xf>
    <xf numFmtId="0" fontId="15" fillId="0" borderId="0" xfId="0" applyFont="1" applyBorder="1" applyAlignment="1" applyProtection="1">
      <alignment horizontal="center"/>
      <protection locked="0"/>
    </xf>
    <xf numFmtId="192" fontId="3" fillId="0" borderId="11" xfId="46" applyNumberFormat="1" applyFont="1" applyBorder="1" applyAlignment="1" applyProtection="1">
      <alignment horizontal="right"/>
      <protection locked="0"/>
    </xf>
    <xf numFmtId="0" fontId="3" fillId="0" borderId="34" xfId="0" applyFont="1" applyBorder="1" applyAlignment="1" applyProtection="1">
      <alignment horizontal="center"/>
      <protection locked="0"/>
    </xf>
    <xf numFmtId="41" fontId="2" fillId="0" borderId="35" xfId="46" applyFont="1" applyBorder="1" applyAlignment="1" applyProtection="1">
      <alignment horizontal="center"/>
      <protection locked="0"/>
    </xf>
    <xf numFmtId="192" fontId="3" fillId="0" borderId="36" xfId="46" applyNumberFormat="1" applyFont="1" applyBorder="1" applyAlignment="1" applyProtection="1">
      <alignment horizontal="right"/>
      <protection locked="0"/>
    </xf>
    <xf numFmtId="184" fontId="2" fillId="0" borderId="0" xfId="0" applyNumberFormat="1" applyFont="1" applyBorder="1" applyAlignment="1" applyProtection="1">
      <alignment horizontal="right"/>
      <protection hidden="1"/>
    </xf>
    <xf numFmtId="173" fontId="2" fillId="0" borderId="11" xfId="0" applyNumberFormat="1" applyFont="1" applyBorder="1" applyAlignment="1" applyProtection="1">
      <alignment/>
      <protection locked="0"/>
    </xf>
    <xf numFmtId="9" fontId="2" fillId="0" borderId="11" xfId="0" applyNumberFormat="1" applyFont="1" applyBorder="1" applyAlignment="1" applyProtection="1">
      <alignment/>
      <protection locked="0"/>
    </xf>
    <xf numFmtId="179" fontId="1" fillId="0" borderId="0" xfId="0" applyNumberFormat="1" applyFont="1" applyFill="1" applyAlignment="1" applyProtection="1">
      <alignment horizontal="right"/>
      <protection locked="0"/>
    </xf>
    <xf numFmtId="41" fontId="2" fillId="0" borderId="12" xfId="0" applyNumberFormat="1" applyFont="1" applyBorder="1" applyAlignment="1" applyProtection="1">
      <alignment/>
      <protection locked="0"/>
    </xf>
    <xf numFmtId="173" fontId="3" fillId="16" borderId="10" xfId="0" applyNumberFormat="1" applyFont="1" applyFill="1" applyBorder="1" applyAlignment="1" applyProtection="1">
      <alignment horizontal="left"/>
      <protection locked="0"/>
    </xf>
    <xf numFmtId="173" fontId="2" fillId="16" borderId="0" xfId="0" applyNumberFormat="1" applyFont="1" applyFill="1" applyBorder="1" applyAlignment="1" applyProtection="1">
      <alignment/>
      <protection locked="0"/>
    </xf>
    <xf numFmtId="192" fontId="3" fillId="16" borderId="11" xfId="0" applyNumberFormat="1" applyFont="1" applyFill="1" applyBorder="1" applyAlignment="1" applyProtection="1">
      <alignment/>
      <protection locked="0"/>
    </xf>
    <xf numFmtId="0" fontId="2" fillId="10" borderId="0" xfId="0" applyFont="1" applyFill="1" applyAlignment="1" applyProtection="1">
      <alignment/>
      <protection locked="0"/>
    </xf>
    <xf numFmtId="179" fontId="0" fillId="10" borderId="0" xfId="0" applyNumberFormat="1" applyFont="1" applyFill="1" applyAlignment="1" applyProtection="1">
      <alignment/>
      <protection locked="0"/>
    </xf>
    <xf numFmtId="192" fontId="2" fillId="0" borderId="11" xfId="0" applyNumberFormat="1" applyFont="1" applyBorder="1" applyAlignment="1" applyProtection="1">
      <alignment/>
      <protection locked="0"/>
    </xf>
    <xf numFmtId="37" fontId="3" fillId="0" borderId="11" xfId="46" applyNumberFormat="1" applyFont="1" applyBorder="1" applyAlignment="1" applyProtection="1">
      <alignment horizontal="right"/>
      <protection locked="0"/>
    </xf>
    <xf numFmtId="192" fontId="2" fillId="0" borderId="13" xfId="0" applyNumberFormat="1" applyFont="1" applyBorder="1" applyAlignment="1" applyProtection="1">
      <alignment/>
      <protection locked="0"/>
    </xf>
    <xf numFmtId="0" fontId="3" fillId="0" borderId="14" xfId="0" applyFont="1" applyBorder="1" applyAlignment="1" applyProtection="1">
      <alignment/>
      <protection locked="0"/>
    </xf>
    <xf numFmtId="173" fontId="2" fillId="26" borderId="0" xfId="0" applyNumberFormat="1" applyFont="1" applyFill="1" applyBorder="1" applyAlignment="1" applyProtection="1">
      <alignment/>
      <protection locked="0"/>
    </xf>
    <xf numFmtId="41" fontId="2" fillId="0" borderId="18" xfId="46" applyFont="1" applyBorder="1" applyAlignment="1" applyProtection="1">
      <alignment/>
      <protection locked="0"/>
    </xf>
    <xf numFmtId="41" fontId="2" fillId="0" borderId="11" xfId="46" applyFont="1" applyBorder="1" applyAlignment="1" applyProtection="1">
      <alignment/>
      <protection locked="0"/>
    </xf>
    <xf numFmtId="192" fontId="2" fillId="16" borderId="11" xfId="44" applyFont="1" applyFill="1" applyBorder="1" applyAlignment="1" applyProtection="1">
      <alignment horizontal="left"/>
      <protection locked="0"/>
    </xf>
    <xf numFmtId="184" fontId="2" fillId="0" borderId="0" xfId="0" applyNumberFormat="1" applyFont="1" applyBorder="1" applyAlignment="1" applyProtection="1">
      <alignment/>
      <protection locked="0"/>
    </xf>
    <xf numFmtId="192" fontId="2" fillId="16" borderId="11" xfId="44" applyFont="1" applyFill="1" applyBorder="1" applyAlignment="1" applyProtection="1">
      <alignment/>
      <protection locked="0"/>
    </xf>
    <xf numFmtId="179" fontId="2" fillId="0" borderId="0" xfId="0" applyNumberFormat="1" applyFont="1" applyAlignment="1" applyProtection="1">
      <alignment/>
      <protection locked="0"/>
    </xf>
    <xf numFmtId="41" fontId="2" fillId="0" borderId="11" xfId="46" applyFont="1" applyBorder="1" applyAlignment="1" applyProtection="1">
      <alignment horizontal="left"/>
      <protection locked="0"/>
    </xf>
    <xf numFmtId="173" fontId="3" fillId="0" borderId="0" xfId="0" applyNumberFormat="1" applyFont="1" applyBorder="1" applyAlignment="1" applyProtection="1">
      <alignment horizontal="left"/>
      <protection locked="0"/>
    </xf>
    <xf numFmtId="173" fontId="3" fillId="0" borderId="0" xfId="0" applyNumberFormat="1" applyFont="1" applyBorder="1" applyAlignment="1" applyProtection="1">
      <alignment horizontal="center" wrapText="1"/>
      <protection locked="0"/>
    </xf>
    <xf numFmtId="0" fontId="3" fillId="0" borderId="0" xfId="0" applyFont="1" applyFill="1" applyBorder="1" applyAlignment="1" applyProtection="1">
      <alignment horizontal="left"/>
      <protection locked="0"/>
    </xf>
    <xf numFmtId="179" fontId="7" fillId="0" borderId="12" xfId="0" applyNumberFormat="1" applyFont="1" applyBorder="1" applyAlignment="1" applyProtection="1">
      <alignment horizontal="right"/>
      <protection locked="0"/>
    </xf>
    <xf numFmtId="41" fontId="3" fillId="0" borderId="13" xfId="46" applyFont="1" applyBorder="1" applyAlignment="1" applyProtection="1">
      <alignment horizontal="right"/>
      <protection locked="0"/>
    </xf>
    <xf numFmtId="173" fontId="2" fillId="0" borderId="0" xfId="0" applyNumberFormat="1" applyFont="1" applyFill="1" applyBorder="1" applyAlignment="1" applyProtection="1">
      <alignment/>
      <protection locked="0"/>
    </xf>
    <xf numFmtId="174" fontId="31" fillId="16" borderId="41" xfId="0" applyNumberFormat="1" applyFont="1" applyFill="1" applyBorder="1" applyAlignment="1" applyProtection="1">
      <alignment horizontal="center" vertical="center"/>
      <protection hidden="1"/>
    </xf>
    <xf numFmtId="182" fontId="31" fillId="16" borderId="42" xfId="46" applyNumberFormat="1" applyFont="1" applyFill="1" applyBorder="1" applyAlignment="1" applyProtection="1">
      <alignment horizontal="center" vertical="center"/>
      <protection hidden="1"/>
    </xf>
    <xf numFmtId="0" fontId="2" fillId="0" borderId="10" xfId="0" applyFont="1" applyBorder="1" applyAlignment="1" applyProtection="1">
      <alignment wrapText="1"/>
      <protection locked="0"/>
    </xf>
    <xf numFmtId="0" fontId="2" fillId="0" borderId="14" xfId="0" applyFont="1" applyBorder="1" applyAlignment="1" applyProtection="1">
      <alignment wrapText="1"/>
      <protection locked="0"/>
    </xf>
    <xf numFmtId="0" fontId="2" fillId="0" borderId="18" xfId="0" applyFont="1" applyBorder="1" applyAlignment="1" applyProtection="1">
      <alignment/>
      <protection locked="0"/>
    </xf>
    <xf numFmtId="0" fontId="2" fillId="0" borderId="16" xfId="0" applyFont="1" applyBorder="1" applyAlignment="1" applyProtection="1">
      <alignment wrapText="1"/>
      <protection locked="0"/>
    </xf>
    <xf numFmtId="0" fontId="3" fillId="0" borderId="0" xfId="0" applyFont="1" applyFill="1" applyBorder="1" applyAlignment="1" applyProtection="1">
      <alignment/>
      <protection locked="0"/>
    </xf>
    <xf numFmtId="41" fontId="2" fillId="0" borderId="0" xfId="46" applyFont="1" applyFill="1" applyBorder="1" applyAlignment="1" applyProtection="1">
      <alignment/>
      <protection locked="0"/>
    </xf>
    <xf numFmtId="192" fontId="2" fillId="0" borderId="0" xfId="44" applyFont="1" applyFill="1" applyBorder="1" applyAlignment="1" applyProtection="1">
      <alignment/>
      <protection locked="0"/>
    </xf>
    <xf numFmtId="173" fontId="2" fillId="25" borderId="16" xfId="0" applyNumberFormat="1" applyFont="1" applyFill="1" applyBorder="1" applyAlignment="1" applyProtection="1">
      <alignment horizontal="left"/>
      <protection locked="0"/>
    </xf>
    <xf numFmtId="173" fontId="2" fillId="25" borderId="10" xfId="0" applyNumberFormat="1" applyFont="1" applyFill="1" applyBorder="1" applyAlignment="1" applyProtection="1">
      <alignment horizontal="left"/>
      <protection locked="0"/>
    </xf>
    <xf numFmtId="0" fontId="2" fillId="25" borderId="10" xfId="0" applyFont="1" applyFill="1" applyBorder="1" applyAlignment="1" applyProtection="1">
      <alignment/>
      <protection locked="0"/>
    </xf>
    <xf numFmtId="0" fontId="2" fillId="25" borderId="14" xfId="0" applyFont="1" applyFill="1" applyBorder="1" applyAlignment="1" applyProtection="1">
      <alignment/>
      <protection locked="0"/>
    </xf>
    <xf numFmtId="175" fontId="7" fillId="25" borderId="17" xfId="0" applyNumberFormat="1" applyFont="1" applyFill="1" applyBorder="1" applyAlignment="1" applyProtection="1">
      <alignment/>
      <protection locked="0"/>
    </xf>
    <xf numFmtId="175" fontId="7" fillId="25" borderId="0" xfId="0" applyNumberFormat="1" applyFont="1" applyFill="1" applyBorder="1" applyAlignment="1" applyProtection="1">
      <alignment/>
      <protection locked="0"/>
    </xf>
    <xf numFmtId="173" fontId="2" fillId="25" borderId="0" xfId="0" applyNumberFormat="1" applyFont="1" applyFill="1" applyBorder="1" applyAlignment="1" applyProtection="1">
      <alignment/>
      <protection locked="0"/>
    </xf>
    <xf numFmtId="0" fontId="2" fillId="25" borderId="0" xfId="0" applyFont="1" applyFill="1" applyBorder="1" applyAlignment="1" applyProtection="1">
      <alignment/>
      <protection locked="0"/>
    </xf>
    <xf numFmtId="0" fontId="2" fillId="25" borderId="0" xfId="0" applyFont="1" applyFill="1" applyBorder="1" applyAlignment="1" applyProtection="1">
      <alignment horizontal="right"/>
      <protection locked="0"/>
    </xf>
    <xf numFmtId="0" fontId="2" fillId="25" borderId="12" xfId="0" applyFont="1" applyFill="1" applyBorder="1" applyAlignment="1" applyProtection="1">
      <alignment/>
      <protection locked="0"/>
    </xf>
    <xf numFmtId="0" fontId="3" fillId="0" borderId="16" xfId="0" applyFont="1" applyBorder="1" applyAlignment="1" applyProtection="1">
      <alignment horizontal="left"/>
      <protection locked="0"/>
    </xf>
    <xf numFmtId="0" fontId="3" fillId="0" borderId="16" xfId="0" applyFont="1" applyBorder="1" applyAlignment="1" applyProtection="1">
      <alignment horizontal="left" wrapText="1"/>
      <protection locked="0"/>
    </xf>
    <xf numFmtId="9" fontId="59" fillId="0" borderId="0" xfId="50" applyFont="1" applyAlignment="1" applyProtection="1">
      <alignment/>
      <protection locked="0"/>
    </xf>
    <xf numFmtId="0" fontId="59" fillId="0" borderId="0" xfId="0" applyFont="1" applyFill="1" applyBorder="1" applyAlignment="1" applyProtection="1">
      <alignment/>
      <protection locked="0"/>
    </xf>
    <xf numFmtId="9" fontId="59" fillId="0" borderId="0" xfId="50" applyFont="1" applyFill="1" applyBorder="1" applyAlignment="1" applyProtection="1">
      <alignment/>
      <protection locked="0"/>
    </xf>
    <xf numFmtId="9" fontId="60" fillId="0" borderId="0" xfId="50" applyFont="1" applyFill="1" applyBorder="1" applyAlignment="1" applyProtection="1">
      <alignment/>
      <protection locked="0"/>
    </xf>
    <xf numFmtId="0" fontId="3" fillId="24" borderId="19" xfId="0" applyFont="1" applyFill="1" applyBorder="1" applyAlignment="1" applyProtection="1">
      <alignment horizontal="center"/>
      <protection locked="0"/>
    </xf>
    <xf numFmtId="0" fontId="2" fillId="26" borderId="18" xfId="0" applyFont="1" applyFill="1" applyBorder="1" applyAlignment="1" applyProtection="1">
      <alignment horizontal="left"/>
      <protection locked="0"/>
    </xf>
    <xf numFmtId="0" fontId="2" fillId="26" borderId="11" xfId="0" applyFont="1" applyFill="1" applyBorder="1" applyAlignment="1" applyProtection="1">
      <alignment horizontal="left"/>
      <protection locked="0"/>
    </xf>
    <xf numFmtId="0" fontId="2" fillId="3" borderId="0" xfId="0" applyFont="1" applyFill="1" applyBorder="1" applyAlignment="1" applyProtection="1">
      <alignment/>
      <protection locked="0"/>
    </xf>
    <xf numFmtId="0" fontId="61" fillId="0" borderId="0" xfId="0" applyFont="1" applyFill="1" applyAlignment="1" applyProtection="1">
      <alignment horizontal="right"/>
      <protection locked="0"/>
    </xf>
    <xf numFmtId="41" fontId="62" fillId="0" borderId="11" xfId="46" applyFont="1" applyBorder="1" applyAlignment="1" applyProtection="1">
      <alignment/>
      <protection locked="0"/>
    </xf>
    <xf numFmtId="41" fontId="2" fillId="0" borderId="21" xfId="0" applyNumberFormat="1" applyFont="1" applyBorder="1" applyAlignment="1" applyProtection="1">
      <alignment/>
      <protection locked="0"/>
    </xf>
    <xf numFmtId="0" fontId="10" fillId="0" borderId="10" xfId="0" applyFont="1" applyBorder="1" applyAlignment="1" applyProtection="1">
      <alignment wrapText="1"/>
      <protection locked="0"/>
    </xf>
    <xf numFmtId="173" fontId="3" fillId="0" borderId="16" xfId="0" applyNumberFormat="1" applyFont="1" applyBorder="1" applyAlignment="1" applyProtection="1">
      <alignment vertical="center" wrapText="1"/>
      <protection locked="0"/>
    </xf>
    <xf numFmtId="173" fontId="3" fillId="0" borderId="17" xfId="0" applyNumberFormat="1" applyFont="1" applyBorder="1" applyAlignment="1" applyProtection="1">
      <alignment vertical="center" wrapText="1"/>
      <protection locked="0"/>
    </xf>
    <xf numFmtId="0" fontId="63" fillId="0" borderId="0" xfId="0" applyFont="1" applyFill="1" applyAlignment="1" applyProtection="1">
      <alignment/>
      <protection locked="0"/>
    </xf>
    <xf numFmtId="0" fontId="64" fillId="0" borderId="0" xfId="0" applyFont="1" applyFill="1" applyBorder="1" applyAlignment="1" applyProtection="1">
      <alignment horizontal="left"/>
      <protection locked="0"/>
    </xf>
    <xf numFmtId="41" fontId="2" fillId="0" borderId="21" xfId="46" applyFont="1" applyBorder="1" applyAlignment="1" applyProtection="1">
      <alignment/>
      <protection locked="0"/>
    </xf>
    <xf numFmtId="0" fontId="2" fillId="25" borderId="12" xfId="0" applyFont="1" applyFill="1" applyBorder="1" applyAlignment="1" applyProtection="1">
      <alignment vertical="center"/>
      <protection hidden="1"/>
    </xf>
    <xf numFmtId="187" fontId="31" fillId="25" borderId="13" xfId="63" applyNumberFormat="1" applyFont="1" applyFill="1" applyBorder="1" applyAlignment="1" applyProtection="1">
      <alignment vertical="center"/>
      <protection hidden="1"/>
    </xf>
    <xf numFmtId="173" fontId="2" fillId="0" borderId="14" xfId="0" applyNumberFormat="1" applyFont="1" applyBorder="1" applyAlignment="1" applyProtection="1">
      <alignment horizontal="left" wrapText="1"/>
      <protection hidden="1"/>
    </xf>
    <xf numFmtId="192" fontId="3" fillId="0" borderId="11" xfId="0" applyNumberFormat="1" applyFont="1" applyBorder="1" applyAlignment="1" applyProtection="1">
      <alignment/>
      <protection hidden="1"/>
    </xf>
    <xf numFmtId="184" fontId="4" fillId="0" borderId="12" xfId="0" applyNumberFormat="1" applyFont="1" applyBorder="1" applyAlignment="1" applyProtection="1">
      <alignment horizontal="right" vertical="center"/>
      <protection locked="0"/>
    </xf>
    <xf numFmtId="173" fontId="2" fillId="0" borderId="11" xfId="0" applyNumberFormat="1" applyFont="1" applyBorder="1" applyAlignment="1" applyProtection="1">
      <alignment/>
      <protection hidden="1"/>
    </xf>
    <xf numFmtId="41" fontId="2" fillId="0" borderId="11" xfId="0" applyNumberFormat="1" applyFont="1" applyBorder="1" applyAlignment="1" applyProtection="1">
      <alignment/>
      <protection hidden="1"/>
    </xf>
    <xf numFmtId="41" fontId="2" fillId="0" borderId="11" xfId="50" applyNumberFormat="1" applyFont="1" applyBorder="1" applyAlignment="1" applyProtection="1">
      <alignment horizontal="center"/>
      <protection hidden="1"/>
    </xf>
    <xf numFmtId="41" fontId="2" fillId="0" borderId="11" xfId="46" applyNumberFormat="1" applyFont="1" applyBorder="1" applyAlignment="1" applyProtection="1">
      <alignment horizontal="right"/>
      <protection hidden="1"/>
    </xf>
    <xf numFmtId="173" fontId="2" fillId="0" borderId="11" xfId="0" applyNumberFormat="1" applyFont="1" applyBorder="1" applyAlignment="1" applyProtection="1">
      <alignment horizontal="left" wrapText="1"/>
      <protection hidden="1"/>
    </xf>
    <xf numFmtId="188" fontId="2" fillId="0" borderId="11" xfId="46" applyNumberFormat="1" applyFont="1" applyBorder="1" applyAlignment="1" applyProtection="1">
      <alignment/>
      <protection hidden="1"/>
    </xf>
    <xf numFmtId="41" fontId="2" fillId="0" borderId="11" xfId="46" applyNumberFormat="1" applyFont="1" applyBorder="1" applyAlignment="1" applyProtection="1">
      <alignment/>
      <protection hidden="1"/>
    </xf>
    <xf numFmtId="192" fontId="3" fillId="0" borderId="13" xfId="0" applyNumberFormat="1" applyFont="1" applyBorder="1" applyAlignment="1" applyProtection="1">
      <alignment/>
      <protection hidden="1"/>
    </xf>
    <xf numFmtId="0" fontId="2" fillId="0" borderId="12" xfId="0" applyFont="1" applyBorder="1" applyAlignment="1" applyProtection="1">
      <alignment/>
      <protection hidden="1"/>
    </xf>
    <xf numFmtId="0" fontId="2" fillId="0" borderId="13" xfId="0" applyFont="1" applyBorder="1" applyAlignment="1" applyProtection="1">
      <alignment/>
      <protection hidden="1"/>
    </xf>
    <xf numFmtId="41" fontId="3" fillId="0" borderId="11" xfId="46" applyFont="1" applyBorder="1" applyAlignment="1" applyProtection="1">
      <alignment horizontal="right"/>
      <protection hidden="1"/>
    </xf>
    <xf numFmtId="0" fontId="3" fillId="0" borderId="16" xfId="0" applyFont="1" applyBorder="1" applyAlignment="1" applyProtection="1">
      <alignment horizontal="center"/>
      <protection hidden="1"/>
    </xf>
    <xf numFmtId="41" fontId="3" fillId="0" borderId="11" xfId="46" applyNumberFormat="1" applyFont="1" applyBorder="1" applyAlignment="1" applyProtection="1">
      <alignment horizontal="right"/>
      <protection hidden="1"/>
    </xf>
    <xf numFmtId="0" fontId="2" fillId="25" borderId="27" xfId="0" applyFont="1" applyFill="1" applyBorder="1" applyAlignment="1" applyProtection="1">
      <alignment/>
      <protection locked="0"/>
    </xf>
    <xf numFmtId="192" fontId="2" fillId="25" borderId="28" xfId="0" applyNumberFormat="1" applyFont="1" applyFill="1" applyBorder="1" applyAlignment="1" applyProtection="1">
      <alignment/>
      <protection locked="0"/>
    </xf>
    <xf numFmtId="0" fontId="3" fillId="25" borderId="27" xfId="0" applyFont="1" applyFill="1" applyBorder="1" applyAlignment="1" applyProtection="1">
      <alignment/>
      <protection locked="0"/>
    </xf>
    <xf numFmtId="192" fontId="3" fillId="25" borderId="28" xfId="0" applyNumberFormat="1" applyFont="1" applyFill="1" applyBorder="1" applyAlignment="1" applyProtection="1">
      <alignment/>
      <protection locked="0"/>
    </xf>
    <xf numFmtId="0" fontId="2" fillId="25" borderId="28" xfId="0" applyFont="1" applyFill="1" applyBorder="1" applyAlignment="1" applyProtection="1">
      <alignment/>
      <protection locked="0"/>
    </xf>
    <xf numFmtId="0" fontId="2" fillId="25" borderId="33" xfId="0" applyFont="1" applyFill="1" applyBorder="1" applyAlignment="1" applyProtection="1">
      <alignment/>
      <protection locked="0"/>
    </xf>
    <xf numFmtId="173" fontId="3" fillId="0" borderId="25" xfId="0" applyNumberFormat="1" applyFont="1" applyBorder="1" applyAlignment="1" applyProtection="1">
      <alignment horizontal="center" wrapText="1"/>
      <protection locked="0"/>
    </xf>
    <xf numFmtId="173" fontId="2" fillId="0" borderId="16" xfId="0" applyNumberFormat="1" applyFont="1" applyBorder="1" applyAlignment="1" applyProtection="1">
      <alignment horizontal="left" wrapText="1"/>
      <protection locked="0"/>
    </xf>
    <xf numFmtId="178" fontId="7" fillId="0" borderId="17" xfId="0" applyNumberFormat="1" applyFont="1" applyBorder="1" applyAlignment="1" applyProtection="1">
      <alignment/>
      <protection locked="0"/>
    </xf>
    <xf numFmtId="174" fontId="2" fillId="0" borderId="18" xfId="0" applyNumberFormat="1" applyFont="1" applyBorder="1" applyAlignment="1" applyProtection="1">
      <alignment/>
      <protection hidden="1"/>
    </xf>
    <xf numFmtId="173" fontId="2" fillId="0" borderId="17" xfId="0" applyNumberFormat="1" applyFont="1" applyBorder="1" applyAlignment="1" applyProtection="1">
      <alignment wrapText="1"/>
      <protection locked="0"/>
    </xf>
    <xf numFmtId="0" fontId="3" fillId="0" borderId="10" xfId="0" applyFont="1" applyBorder="1" applyAlignment="1" applyProtection="1">
      <alignment horizontal="left"/>
      <protection locked="0"/>
    </xf>
    <xf numFmtId="173" fontId="3" fillId="0" borderId="16" xfId="0" applyNumberFormat="1" applyFont="1" applyBorder="1" applyAlignment="1" applyProtection="1">
      <alignment horizontal="center" wrapText="1"/>
      <protection locked="0"/>
    </xf>
    <xf numFmtId="173" fontId="3" fillId="0" borderId="18" xfId="0" applyNumberFormat="1" applyFont="1" applyBorder="1" applyAlignment="1" applyProtection="1">
      <alignment horizontal="center" wrapText="1"/>
      <protection locked="0"/>
    </xf>
    <xf numFmtId="179" fontId="2" fillId="0" borderId="10" xfId="0" applyNumberFormat="1" applyFont="1" applyBorder="1" applyAlignment="1" applyProtection="1">
      <alignment/>
      <protection hidden="1"/>
    </xf>
    <xf numFmtId="0" fontId="3" fillId="0" borderId="25" xfId="0" applyFont="1" applyBorder="1" applyAlignment="1" applyProtection="1">
      <alignment/>
      <protection hidden="1"/>
    </xf>
    <xf numFmtId="0" fontId="2" fillId="0" borderId="10" xfId="0" applyFont="1" applyBorder="1" applyAlignment="1" applyProtection="1">
      <alignment horizontal="right"/>
      <protection hidden="1"/>
    </xf>
    <xf numFmtId="0" fontId="2" fillId="0" borderId="16" xfId="0" applyFont="1" applyFill="1" applyBorder="1" applyAlignment="1" applyProtection="1">
      <alignment/>
      <protection locked="0"/>
    </xf>
    <xf numFmtId="173" fontId="5" fillId="0" borderId="10" xfId="0" applyNumberFormat="1" applyFont="1" applyBorder="1" applyAlignment="1" applyProtection="1">
      <alignment horizontal="left"/>
      <protection hidden="1"/>
    </xf>
    <xf numFmtId="0" fontId="2" fillId="0" borderId="10" xfId="0" applyFont="1" applyFill="1" applyBorder="1" applyAlignment="1" applyProtection="1">
      <alignment/>
      <protection hidden="1"/>
    </xf>
    <xf numFmtId="0" fontId="15" fillId="25" borderId="10" xfId="0" applyFont="1" applyFill="1" applyBorder="1" applyAlignment="1" applyProtection="1">
      <alignment vertical="center"/>
      <protection hidden="1"/>
    </xf>
    <xf numFmtId="173" fontId="3" fillId="16" borderId="43" xfId="0" applyNumberFormat="1" applyFont="1" applyFill="1" applyBorder="1" applyAlignment="1" applyProtection="1">
      <alignment horizontal="left" vertical="center"/>
      <protection hidden="1"/>
    </xf>
    <xf numFmtId="173" fontId="3" fillId="0" borderId="10" xfId="0" applyNumberFormat="1" applyFont="1" applyFill="1" applyBorder="1" applyAlignment="1" applyProtection="1">
      <alignment horizontal="left"/>
      <protection hidden="1"/>
    </xf>
    <xf numFmtId="173" fontId="2" fillId="0" borderId="10" xfId="0" applyNumberFormat="1" applyFont="1" applyFill="1" applyBorder="1" applyAlignment="1" applyProtection="1">
      <alignment horizontal="left"/>
      <protection hidden="1"/>
    </xf>
    <xf numFmtId="173" fontId="2" fillId="0" borderId="10" xfId="0" applyNumberFormat="1" applyFont="1" applyFill="1" applyBorder="1" applyAlignment="1" applyProtection="1">
      <alignment horizontal="left" wrapText="1"/>
      <protection hidden="1"/>
    </xf>
    <xf numFmtId="173" fontId="2" fillId="0" borderId="14" xfId="0" applyNumberFormat="1" applyFont="1" applyFill="1" applyBorder="1" applyAlignment="1" applyProtection="1">
      <alignment horizontal="left" wrapText="1"/>
      <protection hidden="1"/>
    </xf>
    <xf numFmtId="0" fontId="9" fillId="0" borderId="10" xfId="0" applyFont="1" applyBorder="1" applyAlignment="1" applyProtection="1">
      <alignment wrapText="1"/>
      <protection locked="0"/>
    </xf>
    <xf numFmtId="0" fontId="4" fillId="16" borderId="10" xfId="0" applyFont="1" applyFill="1" applyBorder="1" applyAlignment="1" applyProtection="1">
      <alignment horizontal="center" vertical="center" wrapText="1"/>
      <protection hidden="1"/>
    </xf>
    <xf numFmtId="0" fontId="3" fillId="16" borderId="14" xfId="0" applyFont="1" applyFill="1" applyBorder="1" applyAlignment="1" applyProtection="1">
      <alignment horizontal="center" vertical="center"/>
      <protection hidden="1"/>
    </xf>
    <xf numFmtId="173" fontId="2" fillId="0" borderId="24" xfId="0" applyNumberFormat="1" applyFont="1" applyBorder="1" applyAlignment="1" applyProtection="1">
      <alignment horizontal="center" wrapText="1"/>
      <protection locked="0"/>
    </xf>
    <xf numFmtId="173" fontId="3" fillId="0" borderId="36" xfId="0" applyNumberFormat="1" applyFont="1" applyBorder="1" applyAlignment="1" applyProtection="1">
      <alignment vertical="center" wrapText="1"/>
      <protection locked="0"/>
    </xf>
    <xf numFmtId="173" fontId="2" fillId="26" borderId="37" xfId="0" applyNumberFormat="1" applyFont="1" applyFill="1" applyBorder="1" applyAlignment="1" applyProtection="1">
      <alignment/>
      <protection locked="0"/>
    </xf>
    <xf numFmtId="2" fontId="2" fillId="0" borderId="0" xfId="0" applyNumberFormat="1" applyFont="1" applyBorder="1" applyAlignment="1" applyProtection="1">
      <alignment/>
      <protection hidden="1"/>
    </xf>
    <xf numFmtId="0" fontId="2" fillId="4" borderId="12" xfId="0" applyFont="1" applyFill="1" applyBorder="1" applyAlignment="1" applyProtection="1">
      <alignment horizontal="center"/>
      <protection locked="0"/>
    </xf>
    <xf numFmtId="9" fontId="2" fillId="4" borderId="0" xfId="50" applyFont="1" applyFill="1" applyBorder="1" applyAlignment="1" applyProtection="1">
      <alignment/>
      <protection locked="0"/>
    </xf>
    <xf numFmtId="0" fontId="3" fillId="28" borderId="0" xfId="0" applyFont="1" applyFill="1" applyBorder="1" applyAlignment="1" applyProtection="1">
      <alignment horizontal="center" vertical="center"/>
      <protection locked="0"/>
    </xf>
    <xf numFmtId="0" fontId="2" fillId="0" borderId="30" xfId="0" applyFont="1" applyBorder="1" applyAlignment="1" applyProtection="1">
      <alignment/>
      <protection locked="0"/>
    </xf>
    <xf numFmtId="0" fontId="2" fillId="28" borderId="0" xfId="0" applyFont="1" applyFill="1" applyBorder="1" applyAlignment="1" applyProtection="1">
      <alignment horizontal="center"/>
      <protection locked="0"/>
    </xf>
    <xf numFmtId="187" fontId="2" fillId="0" borderId="0" xfId="0" applyNumberFormat="1" applyFont="1" applyBorder="1" applyAlignment="1" applyProtection="1">
      <alignment/>
      <protection locked="0"/>
    </xf>
    <xf numFmtId="203" fontId="2" fillId="0" borderId="0" xfId="63" applyNumberFormat="1" applyFont="1" applyBorder="1" applyAlignment="1" applyProtection="1">
      <alignment/>
      <protection locked="0"/>
    </xf>
    <xf numFmtId="203" fontId="2" fillId="0" borderId="0" xfId="63" applyNumberFormat="1" applyFont="1" applyFill="1" applyBorder="1" applyAlignment="1" applyProtection="1">
      <alignment/>
      <protection locked="0"/>
    </xf>
    <xf numFmtId="0" fontId="23" fillId="0" borderId="0" xfId="0" applyFont="1" applyBorder="1" applyAlignment="1" applyProtection="1">
      <alignment horizontal="center" vertical="center"/>
      <protection locked="0"/>
    </xf>
    <xf numFmtId="9" fontId="2" fillId="25" borderId="11" xfId="50" applyFont="1" applyFill="1" applyBorder="1" applyAlignment="1" applyProtection="1">
      <alignment/>
      <protection locked="0"/>
    </xf>
    <xf numFmtId="0" fontId="2" fillId="28" borderId="0" xfId="0" applyFont="1" applyFill="1" applyBorder="1" applyAlignment="1" applyProtection="1">
      <alignment/>
      <protection locked="0"/>
    </xf>
    <xf numFmtId="187" fontId="2" fillId="28" borderId="0" xfId="0" applyNumberFormat="1" applyFont="1" applyFill="1" applyBorder="1" applyAlignment="1" applyProtection="1">
      <alignment/>
      <protection locked="0"/>
    </xf>
    <xf numFmtId="0" fontId="2" fillId="19" borderId="0" xfId="0" applyFont="1" applyFill="1" applyBorder="1" applyAlignment="1" applyProtection="1">
      <alignment/>
      <protection locked="0"/>
    </xf>
    <xf numFmtId="0" fontId="2" fillId="16" borderId="16" xfId="0" applyFont="1" applyFill="1" applyBorder="1" applyAlignment="1" applyProtection="1">
      <alignment/>
      <protection locked="0"/>
    </xf>
    <xf numFmtId="0" fontId="2" fillId="16" borderId="17" xfId="0" applyFont="1" applyFill="1" applyBorder="1" applyAlignment="1" applyProtection="1">
      <alignment/>
      <protection locked="0"/>
    </xf>
    <xf numFmtId="179" fontId="13" fillId="16" borderId="17" xfId="0" applyNumberFormat="1" applyFont="1" applyFill="1" applyBorder="1" applyAlignment="1" applyProtection="1">
      <alignment/>
      <protection locked="0"/>
    </xf>
    <xf numFmtId="179" fontId="1" fillId="16" borderId="10" xfId="0" applyNumberFormat="1" applyFont="1" applyFill="1" applyBorder="1" applyAlignment="1" applyProtection="1">
      <alignment horizontal="right"/>
      <protection locked="0"/>
    </xf>
    <xf numFmtId="179" fontId="1" fillId="16" borderId="19" xfId="0" applyNumberFormat="1" applyFont="1" applyFill="1" applyBorder="1" applyAlignment="1" applyProtection="1">
      <alignment/>
      <protection locked="0"/>
    </xf>
    <xf numFmtId="0" fontId="2" fillId="16" borderId="19" xfId="0" applyFont="1" applyFill="1" applyBorder="1" applyAlignment="1" applyProtection="1">
      <alignment/>
      <protection locked="0"/>
    </xf>
    <xf numFmtId="179" fontId="1" fillId="16" borderId="10" xfId="0" applyNumberFormat="1" applyFont="1" applyFill="1" applyBorder="1" applyAlignment="1" applyProtection="1">
      <alignment/>
      <protection locked="0"/>
    </xf>
    <xf numFmtId="0" fontId="3" fillId="16" borderId="0" xfId="0" applyFont="1" applyFill="1" applyBorder="1" applyAlignment="1" applyProtection="1">
      <alignment horizontal="center"/>
      <protection locked="0"/>
    </xf>
    <xf numFmtId="43" fontId="1" fillId="16" borderId="10" xfId="63" applyFont="1" applyFill="1" applyBorder="1" applyAlignment="1" applyProtection="1">
      <alignment/>
      <protection locked="0"/>
    </xf>
    <xf numFmtId="43" fontId="1" fillId="16" borderId="0" xfId="63" applyFont="1" applyFill="1" applyBorder="1" applyAlignment="1" applyProtection="1">
      <alignment/>
      <protection locked="0"/>
    </xf>
    <xf numFmtId="0" fontId="61" fillId="16" borderId="34" xfId="0" applyFont="1" applyFill="1" applyBorder="1" applyAlignment="1" applyProtection="1">
      <alignment/>
      <protection locked="0"/>
    </xf>
    <xf numFmtId="0" fontId="61" fillId="16" borderId="0" xfId="0" applyFont="1" applyFill="1" applyBorder="1" applyAlignment="1" applyProtection="1">
      <alignment/>
      <protection locked="0"/>
    </xf>
    <xf numFmtId="179" fontId="21" fillId="16" borderId="0" xfId="0" applyNumberFormat="1" applyFont="1" applyFill="1" applyBorder="1" applyAlignment="1" applyProtection="1">
      <alignment vertical="center"/>
      <protection locked="0"/>
    </xf>
    <xf numFmtId="179" fontId="0" fillId="16" borderId="0" xfId="0" applyNumberFormat="1" applyFont="1" applyFill="1" applyBorder="1" applyAlignment="1" applyProtection="1">
      <alignment vertical="center"/>
      <protection locked="0"/>
    </xf>
    <xf numFmtId="179" fontId="19" fillId="16" borderId="0" xfId="0" applyNumberFormat="1" applyFont="1" applyFill="1" applyBorder="1" applyAlignment="1" applyProtection="1">
      <alignment horizontal="center"/>
      <protection locked="0"/>
    </xf>
    <xf numFmtId="43" fontId="3" fillId="16" borderId="0" xfId="0" applyNumberFormat="1" applyFont="1" applyFill="1" applyBorder="1" applyAlignment="1" applyProtection="1">
      <alignment horizontal="center"/>
      <protection locked="0"/>
    </xf>
    <xf numFmtId="41" fontId="1" fillId="16" borderId="10" xfId="46" applyFont="1" applyFill="1" applyBorder="1" applyAlignment="1" applyProtection="1">
      <alignment/>
      <protection locked="0"/>
    </xf>
    <xf numFmtId="179" fontId="19" fillId="16" borderId="0" xfId="0" applyNumberFormat="1" applyFont="1" applyFill="1" applyBorder="1" applyAlignment="1" applyProtection="1">
      <alignment horizontal="left"/>
      <protection locked="0"/>
    </xf>
    <xf numFmtId="179" fontId="1" fillId="16" borderId="14" xfId="0" applyNumberFormat="1" applyFont="1" applyFill="1" applyBorder="1" applyAlignment="1" applyProtection="1">
      <alignment/>
      <protection locked="0"/>
    </xf>
    <xf numFmtId="179" fontId="19" fillId="16" borderId="12" xfId="0" applyNumberFormat="1" applyFont="1" applyFill="1" applyBorder="1" applyAlignment="1" applyProtection="1">
      <alignment horizontal="center"/>
      <protection locked="0"/>
    </xf>
    <xf numFmtId="0" fontId="2" fillId="16" borderId="12" xfId="0" applyFont="1" applyFill="1" applyBorder="1" applyAlignment="1" applyProtection="1">
      <alignment/>
      <protection locked="0"/>
    </xf>
    <xf numFmtId="179" fontId="13" fillId="16" borderId="12" xfId="0" applyNumberFormat="1" applyFont="1" applyFill="1" applyBorder="1" applyAlignment="1" applyProtection="1">
      <alignment/>
      <protection locked="0"/>
    </xf>
    <xf numFmtId="179" fontId="13" fillId="0" borderId="0" xfId="0" applyNumberFormat="1" applyFont="1" applyFill="1" applyBorder="1" applyAlignment="1" applyProtection="1">
      <alignment/>
      <protection locked="0"/>
    </xf>
    <xf numFmtId="0" fontId="9" fillId="3" borderId="0" xfId="0" applyFont="1" applyFill="1" applyBorder="1" applyAlignment="1" applyProtection="1">
      <alignment/>
      <protection locked="0"/>
    </xf>
    <xf numFmtId="179" fontId="20" fillId="3" borderId="0" xfId="0" applyNumberFormat="1" applyFont="1" applyFill="1" applyBorder="1" applyAlignment="1" applyProtection="1">
      <alignment/>
      <protection locked="0"/>
    </xf>
    <xf numFmtId="179" fontId="13" fillId="3" borderId="0" xfId="0" applyNumberFormat="1" applyFont="1" applyFill="1" applyBorder="1" applyAlignment="1" applyProtection="1">
      <alignment/>
      <protection locked="0"/>
    </xf>
    <xf numFmtId="179" fontId="9" fillId="3" borderId="0" xfId="0" applyNumberFormat="1" applyFont="1" applyFill="1" applyBorder="1" applyAlignment="1" applyProtection="1">
      <alignment/>
      <protection locked="0"/>
    </xf>
    <xf numFmtId="179" fontId="21" fillId="3" borderId="0" xfId="0" applyNumberFormat="1" applyFont="1" applyFill="1" applyBorder="1" applyAlignment="1" applyProtection="1">
      <alignment/>
      <protection locked="0"/>
    </xf>
    <xf numFmtId="0" fontId="2" fillId="3" borderId="0" xfId="0" applyFont="1" applyFill="1" applyAlignment="1" applyProtection="1">
      <alignment/>
      <protection locked="0"/>
    </xf>
    <xf numFmtId="0" fontId="2" fillId="15" borderId="0" xfId="0" applyFont="1" applyFill="1" applyBorder="1" applyAlignment="1" applyProtection="1">
      <alignment/>
      <protection locked="0"/>
    </xf>
    <xf numFmtId="0" fontId="3" fillId="29" borderId="44" xfId="0" applyFont="1" applyFill="1" applyBorder="1" applyAlignment="1" applyProtection="1">
      <alignment/>
      <protection locked="0"/>
    </xf>
    <xf numFmtId="203" fontId="3" fillId="29" borderId="45" xfId="63" applyNumberFormat="1" applyFont="1" applyFill="1" applyBorder="1" applyAlignment="1" applyProtection="1">
      <alignment/>
      <protection locked="0"/>
    </xf>
    <xf numFmtId="0" fontId="3" fillId="29" borderId="29" xfId="0" applyFont="1" applyFill="1" applyBorder="1" applyAlignment="1" applyProtection="1">
      <alignment/>
      <protection locked="0"/>
    </xf>
    <xf numFmtId="0" fontId="2" fillId="0" borderId="46" xfId="0" applyFont="1" applyBorder="1" applyAlignment="1" applyProtection="1">
      <alignment/>
      <protection locked="0"/>
    </xf>
    <xf numFmtId="0" fontId="2" fillId="0" borderId="47" xfId="0" applyFont="1" applyBorder="1" applyAlignment="1" applyProtection="1">
      <alignment horizontal="center"/>
      <protection locked="0"/>
    </xf>
    <xf numFmtId="204" fontId="3" fillId="29" borderId="46" xfId="63" applyNumberFormat="1" applyFont="1" applyFill="1" applyBorder="1" applyAlignment="1" applyProtection="1">
      <alignment/>
      <protection locked="0"/>
    </xf>
    <xf numFmtId="0" fontId="23" fillId="0" borderId="0" xfId="0" applyFont="1" applyBorder="1" applyAlignment="1" applyProtection="1">
      <alignment horizontal="left" vertical="center"/>
      <protection locked="0"/>
    </xf>
    <xf numFmtId="0" fontId="2" fillId="15" borderId="0" xfId="0" applyFont="1" applyFill="1" applyAlignment="1" applyProtection="1">
      <alignment/>
      <protection locked="0"/>
    </xf>
    <xf numFmtId="179" fontId="0" fillId="3" borderId="0" xfId="0" applyNumberFormat="1" applyFont="1" applyFill="1" applyBorder="1" applyAlignment="1" applyProtection="1">
      <alignment/>
      <protection locked="0"/>
    </xf>
    <xf numFmtId="210" fontId="2" fillId="0" borderId="0" xfId="0" applyNumberFormat="1" applyFont="1" applyFill="1" applyBorder="1" applyAlignment="1" applyProtection="1">
      <alignment/>
      <protection locked="0"/>
    </xf>
    <xf numFmtId="205" fontId="2" fillId="0" borderId="48" xfId="63" applyNumberFormat="1" applyFont="1" applyBorder="1" applyAlignment="1" applyProtection="1">
      <alignment/>
      <protection locked="0"/>
    </xf>
    <xf numFmtId="0" fontId="66" fillId="0" borderId="0" xfId="0" applyFont="1" applyBorder="1" applyAlignment="1" applyProtection="1">
      <alignment/>
      <protection locked="0"/>
    </xf>
    <xf numFmtId="179" fontId="2" fillId="0" borderId="19" xfId="0" applyNumberFormat="1" applyFont="1" applyFill="1" applyBorder="1" applyAlignment="1" applyProtection="1">
      <alignment/>
      <protection locked="0"/>
    </xf>
    <xf numFmtId="0" fontId="2" fillId="4" borderId="35" xfId="0" applyFont="1" applyFill="1" applyBorder="1" applyAlignment="1" applyProtection="1">
      <alignment/>
      <protection locked="0"/>
    </xf>
    <xf numFmtId="184" fontId="3" fillId="0" borderId="15" xfId="0" applyNumberFormat="1" applyFont="1" applyBorder="1" applyAlignment="1" applyProtection="1">
      <alignment/>
      <protection hidden="1"/>
    </xf>
    <xf numFmtId="0" fontId="2"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66" fillId="0" borderId="28" xfId="0" applyFont="1" applyBorder="1" applyAlignment="1" applyProtection="1">
      <alignment/>
      <protection locked="0"/>
    </xf>
    <xf numFmtId="0" fontId="23" fillId="0" borderId="28" xfId="0" applyFont="1" applyBorder="1" applyAlignment="1" applyProtection="1">
      <alignment horizontal="center" vertical="center"/>
      <protection locked="0"/>
    </xf>
    <xf numFmtId="0" fontId="2" fillId="28" borderId="28" xfId="0" applyFont="1" applyFill="1" applyBorder="1" applyAlignment="1" applyProtection="1">
      <alignment horizontal="center"/>
      <protection locked="0"/>
    </xf>
    <xf numFmtId="0" fontId="2" fillId="7" borderId="49" xfId="0" applyFont="1" applyFill="1" applyBorder="1" applyAlignment="1" applyProtection="1">
      <alignment horizontal="center"/>
      <protection locked="0"/>
    </xf>
    <xf numFmtId="0" fontId="3" fillId="28" borderId="28" xfId="0" applyFont="1" applyFill="1" applyBorder="1" applyAlignment="1" applyProtection="1">
      <alignment horizontal="center" vertical="center"/>
      <protection locked="0"/>
    </xf>
    <xf numFmtId="9" fontId="2" fillId="7" borderId="27" xfId="50" applyFont="1" applyFill="1" applyBorder="1" applyAlignment="1" applyProtection="1">
      <alignment/>
      <protection locked="0"/>
    </xf>
    <xf numFmtId="0" fontId="2" fillId="0" borderId="30" xfId="0" applyFont="1" applyFill="1" applyBorder="1" applyAlignment="1" applyProtection="1">
      <alignment/>
      <protection locked="0"/>
    </xf>
    <xf numFmtId="187" fontId="2" fillId="0" borderId="30" xfId="0" applyNumberFormat="1" applyFont="1" applyFill="1" applyBorder="1" applyAlignment="1" applyProtection="1">
      <alignment/>
      <protection locked="0"/>
    </xf>
    <xf numFmtId="204" fontId="3" fillId="29" borderId="50" xfId="0" applyNumberFormat="1" applyFont="1" applyFill="1" applyBorder="1" applyAlignment="1" applyProtection="1">
      <alignment/>
      <protection locked="0"/>
    </xf>
    <xf numFmtId="179" fontId="3" fillId="29" borderId="33" xfId="0" applyNumberFormat="1" applyFont="1" applyFill="1" applyBorder="1" applyAlignment="1" applyProtection="1">
      <alignment/>
      <protection locked="0"/>
    </xf>
    <xf numFmtId="0" fontId="2" fillId="25" borderId="13" xfId="0" applyFont="1" applyFill="1" applyBorder="1" applyAlignment="1" applyProtection="1">
      <alignment horizontal="center"/>
      <protection locked="0"/>
    </xf>
    <xf numFmtId="0" fontId="2" fillId="19" borderId="0" xfId="0" applyFont="1" applyFill="1" applyAlignment="1" applyProtection="1">
      <alignment/>
      <protection locked="0"/>
    </xf>
    <xf numFmtId="0" fontId="3" fillId="0" borderId="0" xfId="0" applyFont="1" applyFill="1" applyBorder="1" applyAlignment="1" applyProtection="1">
      <alignment horizontal="center"/>
      <protection locked="0"/>
    </xf>
    <xf numFmtId="0" fontId="2" fillId="25" borderId="37" xfId="0" applyFont="1" applyFill="1" applyBorder="1" applyAlignment="1" applyProtection="1">
      <alignment horizontal="center"/>
      <protection locked="0"/>
    </xf>
    <xf numFmtId="0" fontId="2" fillId="7" borderId="19" xfId="0" applyFont="1" applyFill="1" applyBorder="1" applyAlignment="1" applyProtection="1">
      <alignment horizontal="center"/>
      <protection locked="0"/>
    </xf>
    <xf numFmtId="9" fontId="2" fillId="0" borderId="51" xfId="50" applyFont="1" applyFill="1" applyBorder="1" applyAlignment="1" applyProtection="1">
      <alignment/>
      <protection locked="0"/>
    </xf>
    <xf numFmtId="9" fontId="2" fillId="0" borderId="52" xfId="50" applyFont="1" applyFill="1" applyBorder="1" applyAlignment="1" applyProtection="1">
      <alignment/>
      <protection locked="0"/>
    </xf>
    <xf numFmtId="9" fontId="2" fillId="0" borderId="53" xfId="50" applyFont="1" applyFill="1" applyBorder="1" applyAlignment="1" applyProtection="1">
      <alignment/>
      <protection locked="0"/>
    </xf>
    <xf numFmtId="0" fontId="2" fillId="7" borderId="54" xfId="0" applyFont="1" applyFill="1" applyBorder="1" applyAlignment="1" applyProtection="1">
      <alignment horizontal="center"/>
      <protection locked="0"/>
    </xf>
    <xf numFmtId="9" fontId="2" fillId="0" borderId="55" xfId="50" applyFont="1" applyFill="1" applyBorder="1" applyAlignment="1" applyProtection="1">
      <alignment/>
      <protection locked="0"/>
    </xf>
    <xf numFmtId="9" fontId="2" fillId="7" borderId="28" xfId="50" applyFont="1" applyFill="1" applyBorder="1" applyAlignment="1" applyProtection="1">
      <alignment/>
      <protection locked="0"/>
    </xf>
    <xf numFmtId="9" fontId="2" fillId="7" borderId="29" xfId="50" applyFont="1" applyFill="1" applyBorder="1" applyAlignment="1" applyProtection="1">
      <alignment/>
      <protection locked="0"/>
    </xf>
    <xf numFmtId="9" fontId="2" fillId="7" borderId="40" xfId="50" applyFont="1" applyFill="1" applyBorder="1" applyAlignment="1" applyProtection="1">
      <alignment/>
      <protection locked="0"/>
    </xf>
    <xf numFmtId="9" fontId="2" fillId="7" borderId="33" xfId="50" applyFont="1" applyFill="1" applyBorder="1" applyAlignment="1" applyProtection="1">
      <alignment/>
      <protection locked="0"/>
    </xf>
    <xf numFmtId="0" fontId="2" fillId="25" borderId="56" xfId="0" applyFont="1" applyFill="1" applyBorder="1" applyAlignment="1" applyProtection="1">
      <alignment horizontal="center"/>
      <protection locked="0"/>
    </xf>
    <xf numFmtId="0" fontId="2" fillId="25" borderId="57" xfId="0" applyFont="1" applyFill="1" applyBorder="1" applyAlignment="1" applyProtection="1">
      <alignment horizontal="center"/>
      <protection locked="0"/>
    </xf>
    <xf numFmtId="9" fontId="2" fillId="0" borderId="58" xfId="50" applyFont="1" applyFill="1" applyBorder="1" applyAlignment="1" applyProtection="1">
      <alignment/>
      <protection locked="0"/>
    </xf>
    <xf numFmtId="9" fontId="2" fillId="25" borderId="59" xfId="50" applyFont="1" applyFill="1" applyBorder="1" applyAlignment="1" applyProtection="1">
      <alignment/>
      <protection locked="0"/>
    </xf>
    <xf numFmtId="205" fontId="2" fillId="28" borderId="0" xfId="63" applyNumberFormat="1" applyFont="1" applyFill="1" applyBorder="1" applyAlignment="1" applyProtection="1">
      <alignment/>
      <protection locked="0"/>
    </xf>
    <xf numFmtId="0" fontId="3" fillId="4" borderId="60" xfId="0" applyFont="1" applyFill="1" applyBorder="1" applyAlignment="1" applyProtection="1">
      <alignment horizontal="center"/>
      <protection locked="0"/>
    </xf>
    <xf numFmtId="0" fontId="3" fillId="4" borderId="61" xfId="0" applyFont="1" applyFill="1" applyBorder="1" applyAlignment="1" applyProtection="1">
      <alignment horizontal="center"/>
      <protection locked="0"/>
    </xf>
    <xf numFmtId="0" fontId="2" fillId="28" borderId="35" xfId="0" applyFont="1" applyFill="1" applyBorder="1" applyAlignment="1" applyProtection="1">
      <alignment horizontal="center" vertical="center"/>
      <protection locked="0"/>
    </xf>
    <xf numFmtId="184" fontId="2" fillId="0" borderId="39" xfId="46" applyNumberFormat="1" applyFont="1" applyFill="1" applyBorder="1" applyAlignment="1" applyProtection="1">
      <alignment/>
      <protection hidden="1"/>
    </xf>
    <xf numFmtId="184" fontId="3" fillId="0" borderId="0" xfId="0" applyNumberFormat="1" applyFont="1" applyFill="1" applyBorder="1" applyAlignment="1" applyProtection="1">
      <alignment/>
      <protection locked="0"/>
    </xf>
    <xf numFmtId="0" fontId="2" fillId="29" borderId="30" xfId="0" applyFont="1" applyFill="1" applyBorder="1" applyAlignment="1" applyProtection="1">
      <alignment/>
      <protection locked="0"/>
    </xf>
    <xf numFmtId="0" fontId="2" fillId="29" borderId="62" xfId="0" applyFont="1" applyFill="1" applyBorder="1" applyAlignment="1" applyProtection="1">
      <alignment/>
      <protection locked="0"/>
    </xf>
    <xf numFmtId="184" fontId="2" fillId="0" borderId="15" xfId="0" applyNumberFormat="1" applyFont="1" applyBorder="1" applyAlignment="1" applyProtection="1">
      <alignment/>
      <protection hidden="1"/>
    </xf>
    <xf numFmtId="9" fontId="2" fillId="30" borderId="27" xfId="50" applyFont="1" applyFill="1" applyBorder="1" applyAlignment="1" applyProtection="1">
      <alignment/>
      <protection hidden="1"/>
    </xf>
    <xf numFmtId="9" fontId="2" fillId="30" borderId="39" xfId="50" applyFont="1" applyFill="1" applyBorder="1" applyAlignment="1" applyProtection="1">
      <alignment/>
      <protection hidden="1"/>
    </xf>
    <xf numFmtId="179" fontId="9" fillId="24" borderId="0" xfId="0" applyNumberFormat="1" applyFont="1" applyFill="1" applyBorder="1" applyAlignment="1" applyProtection="1">
      <alignment/>
      <protection locked="0"/>
    </xf>
    <xf numFmtId="43" fontId="3" fillId="0" borderId="0" xfId="63" applyFont="1" applyFill="1" applyBorder="1" applyAlignment="1" applyProtection="1">
      <alignment horizontal="center"/>
      <protection locked="0"/>
    </xf>
    <xf numFmtId="179" fontId="67" fillId="24" borderId="19" xfId="0" applyNumberFormat="1" applyFont="1" applyFill="1" applyBorder="1" applyAlignment="1" applyProtection="1">
      <alignment/>
      <protection locked="0"/>
    </xf>
    <xf numFmtId="210" fontId="2" fillId="28" borderId="0" xfId="0" applyNumberFormat="1" applyFont="1" applyFill="1" applyBorder="1" applyAlignment="1" applyProtection="1">
      <alignment/>
      <protection locked="0"/>
    </xf>
    <xf numFmtId="0" fontId="3" fillId="29" borderId="44" xfId="0" applyFont="1" applyFill="1" applyBorder="1" applyAlignment="1" applyProtection="1">
      <alignment horizontal="right"/>
      <protection locked="0"/>
    </xf>
    <xf numFmtId="0" fontId="3" fillId="29" borderId="29" xfId="0" applyFont="1" applyFill="1" applyBorder="1" applyAlignment="1" applyProtection="1">
      <alignment horizontal="right"/>
      <protection locked="0"/>
    </xf>
    <xf numFmtId="0" fontId="2" fillId="29" borderId="0" xfId="0" applyFont="1" applyFill="1" applyAlignment="1" applyProtection="1">
      <alignment/>
      <protection locked="0"/>
    </xf>
    <xf numFmtId="9" fontId="1" fillId="4" borderId="63" xfId="50" applyFont="1" applyFill="1" applyBorder="1" applyAlignment="1" applyProtection="1">
      <alignment horizontal="center"/>
      <protection locked="0"/>
    </xf>
    <xf numFmtId="179" fontId="13" fillId="19" borderId="0" xfId="0" applyNumberFormat="1" applyFont="1" applyFill="1" applyBorder="1" applyAlignment="1" applyProtection="1">
      <alignment vertical="center"/>
      <protection locked="0"/>
    </xf>
    <xf numFmtId="179" fontId="2" fillId="0" borderId="19" xfId="0" applyNumberFormat="1" applyFont="1" applyFill="1" applyBorder="1" applyAlignment="1" applyProtection="1">
      <alignment/>
      <protection locked="0"/>
    </xf>
    <xf numFmtId="179" fontId="2" fillId="0" borderId="0" xfId="0" applyNumberFormat="1" applyFont="1" applyBorder="1" applyAlignment="1" applyProtection="1">
      <alignment/>
      <protection locked="0"/>
    </xf>
    <xf numFmtId="179" fontId="1" fillId="4" borderId="0" xfId="0" applyNumberFormat="1" applyFont="1" applyFill="1" applyBorder="1" applyAlignment="1" applyProtection="1">
      <alignment/>
      <protection locked="0"/>
    </xf>
    <xf numFmtId="0" fontId="2" fillId="4" borderId="0" xfId="0" applyFont="1" applyFill="1" applyBorder="1" applyAlignment="1" applyProtection="1">
      <alignment/>
      <protection locked="0"/>
    </xf>
    <xf numFmtId="182" fontId="3" fillId="0" borderId="0" xfId="46" applyNumberFormat="1" applyFont="1" applyBorder="1" applyAlignment="1" applyProtection="1">
      <alignment horizontal="center"/>
      <protection locked="0"/>
    </xf>
    <xf numFmtId="182" fontId="3" fillId="0" borderId="0" xfId="46" applyNumberFormat="1" applyFont="1" applyBorder="1" applyAlignment="1" applyProtection="1">
      <alignment/>
      <protection locked="0"/>
    </xf>
    <xf numFmtId="9" fontId="2" fillId="0" borderId="10" xfId="50" applyFont="1" applyBorder="1" applyAlignment="1" applyProtection="1">
      <alignment/>
      <protection locked="0"/>
    </xf>
    <xf numFmtId="176" fontId="65" fillId="0" borderId="10" xfId="0" applyNumberFormat="1" applyFont="1" applyBorder="1" applyAlignment="1" applyProtection="1">
      <alignment horizontal="center" wrapText="1"/>
      <protection hidden="1"/>
    </xf>
    <xf numFmtId="9" fontId="2" fillId="31" borderId="27" xfId="50" applyFont="1" applyFill="1" applyBorder="1" applyAlignment="1" applyProtection="1">
      <alignment/>
      <protection hidden="1"/>
    </xf>
    <xf numFmtId="9" fontId="2" fillId="31" borderId="39" xfId="50" applyFont="1" applyFill="1" applyBorder="1" applyAlignment="1" applyProtection="1">
      <alignment/>
      <protection hidden="1"/>
    </xf>
    <xf numFmtId="179" fontId="13" fillId="0" borderId="0" xfId="0" applyNumberFormat="1" applyFont="1" applyFill="1" applyBorder="1" applyAlignment="1" applyProtection="1">
      <alignment vertical="center"/>
      <protection locked="0"/>
    </xf>
    <xf numFmtId="176" fontId="65" fillId="0" borderId="14" xfId="0" applyNumberFormat="1" applyFont="1" applyBorder="1" applyAlignment="1" applyProtection="1">
      <alignment horizontal="justify" wrapText="1" shrinkToFit="1"/>
      <protection hidden="1"/>
    </xf>
    <xf numFmtId="173" fontId="2" fillId="0" borderId="10" xfId="0" applyNumberFormat="1" applyFont="1" applyBorder="1" applyAlignment="1" applyProtection="1">
      <alignment horizontal="left" vertical="center" wrapText="1"/>
      <protection locked="0"/>
    </xf>
    <xf numFmtId="0" fontId="2" fillId="0" borderId="0" xfId="0" applyFont="1" applyAlignment="1" applyProtection="1">
      <alignment vertical="center"/>
      <protection locked="0"/>
    </xf>
    <xf numFmtId="0" fontId="25" fillId="0" borderId="0" xfId="36" applyAlignment="1" applyProtection="1">
      <alignment/>
      <protection/>
    </xf>
    <xf numFmtId="179" fontId="1" fillId="29" borderId="61" xfId="0" applyNumberFormat="1" applyFont="1" applyFill="1" applyBorder="1" applyAlignment="1" applyProtection="1">
      <alignment horizontal="left"/>
      <protection locked="0"/>
    </xf>
    <xf numFmtId="43" fontId="2" fillId="0" borderId="0" xfId="0" applyNumberFormat="1" applyFont="1" applyAlignment="1" applyProtection="1">
      <alignment/>
      <protection locked="0"/>
    </xf>
    <xf numFmtId="43" fontId="1" fillId="10" borderId="10" xfId="63" applyFont="1" applyFill="1" applyBorder="1" applyAlignment="1" applyProtection="1">
      <alignment/>
      <protection locked="0"/>
    </xf>
    <xf numFmtId="43" fontId="1" fillId="32" borderId="0" xfId="63" applyFont="1" applyFill="1" applyBorder="1" applyAlignment="1" applyProtection="1">
      <alignment/>
      <protection locked="0"/>
    </xf>
    <xf numFmtId="43" fontId="1" fillId="32" borderId="10" xfId="63" applyFont="1" applyFill="1" applyBorder="1" applyAlignment="1" applyProtection="1">
      <alignment/>
      <protection locked="0"/>
    </xf>
    <xf numFmtId="43" fontId="1" fillId="19" borderId="0" xfId="63" applyFont="1" applyFill="1" applyBorder="1" applyAlignment="1" applyProtection="1">
      <alignment/>
      <protection locked="0"/>
    </xf>
    <xf numFmtId="43" fontId="1" fillId="33" borderId="0" xfId="63" applyFont="1" applyFill="1" applyBorder="1" applyAlignment="1" applyProtection="1">
      <alignment/>
      <protection locked="0"/>
    </xf>
    <xf numFmtId="0" fontId="61" fillId="16" borderId="19" xfId="0" applyFont="1" applyFill="1" applyBorder="1" applyAlignment="1" applyProtection="1">
      <alignment/>
      <protection locked="0"/>
    </xf>
    <xf numFmtId="2" fontId="10" fillId="0" borderId="0" xfId="46" applyNumberFormat="1" applyFont="1" applyBorder="1" applyAlignment="1" applyProtection="1">
      <alignment/>
      <protection locked="0"/>
    </xf>
    <xf numFmtId="2" fontId="2" fillId="0" borderId="0" xfId="0" applyNumberFormat="1" applyFont="1" applyBorder="1" applyAlignment="1" applyProtection="1">
      <alignment/>
      <protection locked="0"/>
    </xf>
    <xf numFmtId="41" fontId="2" fillId="16" borderId="17" xfId="50" applyNumberFormat="1" applyFont="1" applyFill="1" applyBorder="1" applyAlignment="1" applyProtection="1">
      <alignment horizontal="center"/>
      <protection locked="0"/>
    </xf>
    <xf numFmtId="179" fontId="0" fillId="16" borderId="18" xfId="0" applyNumberFormat="1" applyFont="1" applyFill="1" applyBorder="1" applyAlignment="1" applyProtection="1">
      <alignment/>
      <protection locked="0"/>
    </xf>
    <xf numFmtId="41" fontId="2" fillId="16" borderId="0" xfId="50" applyNumberFormat="1" applyFont="1" applyFill="1" applyBorder="1" applyAlignment="1" applyProtection="1">
      <alignment horizontal="center"/>
      <protection locked="0"/>
    </xf>
    <xf numFmtId="179" fontId="0" fillId="16" borderId="11" xfId="0" applyNumberFormat="1" applyFont="1" applyFill="1" applyBorder="1" applyAlignment="1" applyProtection="1">
      <alignment/>
      <protection locked="0"/>
    </xf>
    <xf numFmtId="0" fontId="31" fillId="16" borderId="17" xfId="0" applyFont="1" applyFill="1" applyBorder="1" applyAlignment="1" applyProtection="1">
      <alignment/>
      <protection locked="0"/>
    </xf>
    <xf numFmtId="0" fontId="2" fillId="16" borderId="18" xfId="0" applyFont="1" applyFill="1" applyBorder="1" applyAlignment="1" applyProtection="1">
      <alignment/>
      <protection locked="0"/>
    </xf>
    <xf numFmtId="0" fontId="2" fillId="16" borderId="11" xfId="0" applyFont="1" applyFill="1" applyBorder="1" applyAlignment="1" applyProtection="1">
      <alignment/>
      <protection locked="0"/>
    </xf>
    <xf numFmtId="41" fontId="3" fillId="16" borderId="16" xfId="50" applyNumberFormat="1" applyFont="1" applyFill="1" applyBorder="1" applyAlignment="1" applyProtection="1">
      <alignment vertical="top"/>
      <protection locked="0"/>
    </xf>
    <xf numFmtId="41" fontId="3" fillId="16" borderId="10" xfId="50" applyNumberFormat="1" applyFont="1" applyFill="1" applyBorder="1" applyAlignment="1" applyProtection="1">
      <alignment vertical="top"/>
      <protection locked="0"/>
    </xf>
    <xf numFmtId="41" fontId="2" fillId="16" borderId="14" xfId="50" applyNumberFormat="1" applyFont="1" applyFill="1" applyBorder="1" applyAlignment="1" applyProtection="1">
      <alignment horizontal="center"/>
      <protection locked="0"/>
    </xf>
    <xf numFmtId="41" fontId="2" fillId="16" borderId="12" xfId="50" applyNumberFormat="1" applyFont="1" applyFill="1" applyBorder="1" applyAlignment="1" applyProtection="1">
      <alignment horizontal="center"/>
      <protection locked="0"/>
    </xf>
    <xf numFmtId="179" fontId="0" fillId="16" borderId="13" xfId="0" applyNumberFormat="1" applyFont="1" applyFill="1" applyBorder="1" applyAlignment="1" applyProtection="1">
      <alignment/>
      <protection locked="0"/>
    </xf>
    <xf numFmtId="0" fontId="2" fillId="16" borderId="13" xfId="0" applyFont="1" applyFill="1" applyBorder="1" applyAlignment="1" applyProtection="1">
      <alignment/>
      <protection locked="0"/>
    </xf>
    <xf numFmtId="0" fontId="2" fillId="16" borderId="0" xfId="0" applyFont="1" applyFill="1" applyAlignment="1" applyProtection="1">
      <alignment wrapText="1"/>
      <protection locked="0"/>
    </xf>
    <xf numFmtId="0" fontId="2" fillId="0" borderId="17"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192" fontId="3" fillId="0" borderId="30" xfId="62" applyNumberFormat="1" applyFont="1" applyBorder="1" applyAlignment="1" applyProtection="1">
      <alignment horizontal="center"/>
      <protection hidden="1"/>
    </xf>
    <xf numFmtId="192" fontId="3" fillId="0" borderId="12" xfId="62" applyNumberFormat="1" applyFont="1" applyBorder="1" applyAlignment="1" applyProtection="1">
      <alignment horizontal="center"/>
      <protection hidden="1"/>
    </xf>
    <xf numFmtId="192" fontId="3" fillId="0" borderId="13" xfId="62" applyNumberFormat="1" applyFont="1" applyBorder="1" applyAlignment="1" applyProtection="1">
      <alignment horizontal="center"/>
      <protection hidden="1"/>
    </xf>
    <xf numFmtId="173" fontId="24" fillId="0" borderId="16" xfId="0" applyNumberFormat="1" applyFont="1" applyBorder="1" applyAlignment="1" applyProtection="1">
      <alignment horizontal="center"/>
      <protection hidden="1"/>
    </xf>
    <xf numFmtId="173" fontId="3" fillId="0" borderId="17" xfId="0" applyNumberFormat="1" applyFont="1" applyBorder="1" applyAlignment="1" applyProtection="1">
      <alignment horizontal="center"/>
      <protection hidden="1"/>
    </xf>
    <xf numFmtId="173" fontId="3" fillId="0" borderId="18" xfId="0" applyNumberFormat="1" applyFont="1" applyBorder="1" applyAlignment="1" applyProtection="1">
      <alignment horizontal="center"/>
      <protection hidden="1"/>
    </xf>
    <xf numFmtId="192" fontId="3" fillId="0" borderId="12" xfId="62" applyNumberFormat="1" applyFont="1" applyFill="1" applyBorder="1" applyAlignment="1" applyProtection="1">
      <alignment horizontal="center"/>
      <protection hidden="1"/>
    </xf>
    <xf numFmtId="192" fontId="3" fillId="0" borderId="64" xfId="62" applyNumberFormat="1" applyFont="1" applyBorder="1" applyAlignment="1" applyProtection="1">
      <alignment horizontal="center"/>
      <protection hidden="1"/>
    </xf>
    <xf numFmtId="192" fontId="3" fillId="0" borderId="0" xfId="62" applyNumberFormat="1" applyFont="1" applyBorder="1" applyAlignment="1" applyProtection="1">
      <alignment horizontal="center"/>
      <protection locked="0"/>
    </xf>
    <xf numFmtId="192" fontId="3" fillId="0" borderId="0" xfId="62" applyNumberFormat="1" applyFont="1" applyBorder="1" applyAlignment="1" applyProtection="1">
      <alignment horizontal="center"/>
      <protection hidden="1"/>
    </xf>
    <xf numFmtId="192" fontId="3" fillId="0" borderId="0" xfId="46" applyNumberFormat="1" applyFont="1" applyFill="1" applyBorder="1" applyAlignment="1" applyProtection="1">
      <alignment horizontal="center"/>
      <protection locked="0"/>
    </xf>
    <xf numFmtId="192" fontId="3" fillId="0" borderId="11" xfId="46" applyNumberFormat="1" applyFont="1" applyFill="1" applyBorder="1" applyAlignment="1" applyProtection="1">
      <alignment horizontal="center"/>
      <protection locked="0"/>
    </xf>
    <xf numFmtId="192" fontId="3" fillId="0" borderId="0" xfId="46" applyNumberFormat="1" applyFont="1" applyBorder="1" applyAlignment="1" applyProtection="1">
      <alignment horizontal="right" vertical="center"/>
      <protection locked="0"/>
    </xf>
    <xf numFmtId="176" fontId="65" fillId="0" borderId="10" xfId="0" applyNumberFormat="1" applyFont="1" applyBorder="1" applyAlignment="1" applyProtection="1">
      <alignment horizontal="center" wrapText="1"/>
      <protection hidden="1"/>
    </xf>
    <xf numFmtId="176" fontId="65" fillId="0" borderId="14" xfId="0" applyNumberFormat="1" applyFont="1" applyBorder="1" applyAlignment="1" applyProtection="1">
      <alignment horizontal="center" wrapText="1"/>
      <protection hidden="1"/>
    </xf>
    <xf numFmtId="176" fontId="65" fillId="0" borderId="38" xfId="0" applyNumberFormat="1" applyFont="1" applyBorder="1" applyAlignment="1" applyProtection="1">
      <alignment horizontal="center" vertical="center" wrapText="1"/>
      <protection hidden="1"/>
    </xf>
    <xf numFmtId="176" fontId="65" fillId="0" borderId="37" xfId="0" applyNumberFormat="1" applyFont="1" applyBorder="1" applyAlignment="1" applyProtection="1">
      <alignment horizontal="center" vertical="center" wrapText="1"/>
      <protection hidden="1"/>
    </xf>
    <xf numFmtId="192" fontId="3" fillId="0" borderId="31" xfId="62" applyNumberFormat="1" applyFont="1" applyBorder="1" applyAlignment="1" applyProtection="1">
      <alignment horizontal="center"/>
      <protection hidden="1"/>
    </xf>
    <xf numFmtId="0" fontId="15" fillId="0" borderId="16"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68" fillId="0" borderId="27" xfId="0" applyFont="1" applyBorder="1" applyAlignment="1" applyProtection="1">
      <alignment horizontal="center" vertical="center" textRotation="89" shrinkToFit="1"/>
      <protection locked="0"/>
    </xf>
    <xf numFmtId="0" fontId="68" fillId="0" borderId="65" xfId="0" applyFont="1" applyBorder="1" applyAlignment="1" applyProtection="1">
      <alignment horizontal="center" vertical="center" textRotation="89" shrinkToFit="1"/>
      <protection locked="0"/>
    </xf>
    <xf numFmtId="0" fontId="68" fillId="0" borderId="0" xfId="0" applyFont="1" applyBorder="1" applyAlignment="1" applyProtection="1">
      <alignment horizontal="center" vertical="top" textRotation="89" shrinkToFit="1"/>
      <protection locked="0"/>
    </xf>
    <xf numFmtId="0" fontId="68" fillId="0" borderId="12" xfId="0" applyFont="1" applyBorder="1" applyAlignment="1" applyProtection="1">
      <alignment horizontal="center" vertical="top" textRotation="89" shrinkToFit="1"/>
      <protection locked="0"/>
    </xf>
    <xf numFmtId="0" fontId="68" fillId="0" borderId="28" xfId="0" applyFont="1" applyBorder="1" applyAlignment="1" applyProtection="1">
      <alignment horizontal="center" vertical="center" textRotation="89" wrapText="1" shrinkToFit="1"/>
      <protection locked="0"/>
    </xf>
    <xf numFmtId="0" fontId="68" fillId="0" borderId="66" xfId="0" applyFont="1" applyBorder="1" applyAlignment="1" applyProtection="1">
      <alignment horizontal="center" vertical="center" textRotation="89" wrapText="1" shrinkToFit="1"/>
      <protection locked="0"/>
    </xf>
    <xf numFmtId="0" fontId="68" fillId="0" borderId="59" xfId="0" applyFont="1" applyBorder="1" applyAlignment="1" applyProtection="1">
      <alignment horizontal="center" vertical="center" textRotation="89" shrinkToFit="1"/>
      <protection locked="0"/>
    </xf>
    <xf numFmtId="0" fontId="68" fillId="0" borderId="67" xfId="0" applyFont="1" applyBorder="1" applyAlignment="1" applyProtection="1">
      <alignment horizontal="center" vertical="center" textRotation="89" shrinkToFit="1"/>
      <protection locked="0"/>
    </xf>
    <xf numFmtId="0" fontId="68" fillId="0" borderId="39" xfId="0" applyFont="1" applyBorder="1" applyAlignment="1" applyProtection="1">
      <alignment horizontal="center" vertical="center" textRotation="89" shrinkToFit="1"/>
      <protection locked="0"/>
    </xf>
    <xf numFmtId="0" fontId="68" fillId="0" borderId="37" xfId="0" applyFont="1" applyBorder="1" applyAlignment="1" applyProtection="1">
      <alignment horizontal="center" vertical="center" textRotation="89" shrinkToFit="1"/>
      <protection locked="0"/>
    </xf>
    <xf numFmtId="0" fontId="68" fillId="0" borderId="11" xfId="0" applyFont="1" applyBorder="1" applyAlignment="1" applyProtection="1">
      <alignment horizontal="center" vertical="center" textRotation="89" shrinkToFit="1"/>
      <protection locked="0"/>
    </xf>
    <xf numFmtId="0" fontId="68" fillId="0" borderId="13" xfId="0" applyFont="1" applyBorder="1" applyAlignment="1" applyProtection="1">
      <alignment horizontal="center" vertical="center" textRotation="89" shrinkToFit="1"/>
      <protection locked="0"/>
    </xf>
    <xf numFmtId="0" fontId="23" fillId="0" borderId="22"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23" fillId="0" borderId="33" xfId="0" applyFont="1" applyBorder="1" applyAlignment="1" applyProtection="1">
      <alignment horizontal="center" vertical="center"/>
      <protection locked="0"/>
    </xf>
    <xf numFmtId="0" fontId="66" fillId="0" borderId="22" xfId="0" applyFont="1" applyBorder="1" applyAlignment="1" applyProtection="1">
      <alignment horizontal="center"/>
      <protection locked="0"/>
    </xf>
    <xf numFmtId="0" fontId="66" fillId="0" borderId="23" xfId="0" applyFont="1" applyBorder="1" applyAlignment="1" applyProtection="1">
      <alignment horizontal="center"/>
      <protection locked="0"/>
    </xf>
    <xf numFmtId="0" fontId="66" fillId="0" borderId="26" xfId="0" applyFont="1" applyBorder="1" applyAlignment="1" applyProtection="1">
      <alignment horizontal="center"/>
      <protection locked="0"/>
    </xf>
    <xf numFmtId="0" fontId="66" fillId="0" borderId="27" xfId="0" applyFont="1" applyBorder="1" applyAlignment="1" applyProtection="1">
      <alignment horizontal="center"/>
      <protection locked="0"/>
    </xf>
    <xf numFmtId="0" fontId="66" fillId="0" borderId="0" xfId="0" applyFont="1" applyBorder="1" applyAlignment="1" applyProtection="1">
      <alignment horizontal="center"/>
      <protection locked="0"/>
    </xf>
    <xf numFmtId="0" fontId="66" fillId="0" borderId="28" xfId="0" applyFont="1" applyBorder="1" applyAlignment="1" applyProtection="1">
      <alignment horizontal="center"/>
      <protection locked="0"/>
    </xf>
    <xf numFmtId="0" fontId="2" fillId="28" borderId="38" xfId="0" applyFont="1" applyFill="1" applyBorder="1" applyAlignment="1" applyProtection="1">
      <alignment horizontal="center" vertical="center" wrapText="1"/>
      <protection locked="0"/>
    </xf>
    <xf numFmtId="0" fontId="2" fillId="28" borderId="37" xfId="0" applyFont="1" applyFill="1" applyBorder="1" applyAlignment="1" applyProtection="1">
      <alignment horizontal="center" vertical="center" wrapText="1"/>
      <protection locked="0"/>
    </xf>
    <xf numFmtId="0" fontId="68" fillId="0" borderId="46" xfId="0" applyFont="1" applyBorder="1" applyAlignment="1" applyProtection="1">
      <alignment horizontal="center" vertical="center" textRotation="89" shrinkToFit="1"/>
      <protection locked="0"/>
    </xf>
    <xf numFmtId="0" fontId="68" fillId="0" borderId="57" xfId="0" applyFont="1" applyBorder="1" applyAlignment="1" applyProtection="1">
      <alignment horizontal="center" vertical="center" textRotation="89" shrinkToFit="1"/>
      <protection locked="0"/>
    </xf>
    <xf numFmtId="0" fontId="68" fillId="0" borderId="38" xfId="0" applyFont="1" applyBorder="1" applyAlignment="1" applyProtection="1">
      <alignment horizontal="center" vertical="center" textRotation="89"/>
      <protection locked="0"/>
    </xf>
    <xf numFmtId="0" fontId="68" fillId="0" borderId="39" xfId="0" applyFont="1" applyBorder="1" applyAlignment="1" applyProtection="1">
      <alignment horizontal="center" vertical="center" textRotation="89"/>
      <protection locked="0"/>
    </xf>
    <xf numFmtId="0" fontId="68" fillId="0" borderId="37" xfId="0" applyFont="1" applyBorder="1" applyAlignment="1" applyProtection="1">
      <alignment horizontal="center" vertical="center" textRotation="89"/>
      <protection locked="0"/>
    </xf>
    <xf numFmtId="0" fontId="70" fillId="0" borderId="27" xfId="0" applyFont="1" applyBorder="1" applyAlignment="1" applyProtection="1">
      <alignment horizontal="center" vertical="center" textRotation="89" shrinkToFit="1"/>
      <protection locked="0"/>
    </xf>
    <xf numFmtId="0" fontId="70" fillId="0" borderId="65" xfId="0" applyFont="1" applyBorder="1" applyAlignment="1" applyProtection="1">
      <alignment horizontal="center" vertical="center" textRotation="89" shrinkToFit="1"/>
      <protection locked="0"/>
    </xf>
    <xf numFmtId="0" fontId="69" fillId="0" borderId="17" xfId="0" applyFont="1" applyBorder="1" applyAlignment="1" applyProtection="1">
      <alignment horizontal="center" vertical="center" textRotation="89" shrinkToFit="1"/>
      <protection locked="0"/>
    </xf>
    <xf numFmtId="0" fontId="69" fillId="0" borderId="0" xfId="0" applyFont="1" applyBorder="1" applyAlignment="1" applyProtection="1">
      <alignment horizontal="center" vertical="center" textRotation="89" shrinkToFit="1"/>
      <protection locked="0"/>
    </xf>
    <xf numFmtId="0" fontId="69" fillId="0" borderId="12" xfId="0" applyFont="1" applyBorder="1" applyAlignment="1" applyProtection="1">
      <alignment horizontal="center" vertical="center" textRotation="89" shrinkToFit="1"/>
      <protection locked="0"/>
    </xf>
    <xf numFmtId="0" fontId="65" fillId="0" borderId="28" xfId="0" applyFont="1" applyBorder="1" applyAlignment="1" applyProtection="1">
      <alignment horizontal="center" vertical="center" textRotation="89" wrapText="1" shrinkToFit="1"/>
      <protection locked="0"/>
    </xf>
    <xf numFmtId="0" fontId="65" fillId="0" borderId="66" xfId="0" applyFont="1" applyBorder="1" applyAlignment="1" applyProtection="1">
      <alignment horizontal="center" vertical="center" textRotation="89" wrapText="1" shrinkToFit="1"/>
      <protection locked="0"/>
    </xf>
    <xf numFmtId="196" fontId="4" fillId="16" borderId="0" xfId="46" applyNumberFormat="1" applyFont="1" applyFill="1" applyBorder="1" applyAlignment="1" applyProtection="1">
      <alignment horizontal="center" vertical="center"/>
      <protection hidden="1"/>
    </xf>
    <xf numFmtId="196" fontId="4" fillId="16" borderId="11" xfId="46" applyNumberFormat="1" applyFont="1" applyFill="1" applyBorder="1" applyAlignment="1" applyProtection="1">
      <alignment horizontal="center" vertical="center"/>
      <protection hidden="1"/>
    </xf>
    <xf numFmtId="196" fontId="4" fillId="16" borderId="12" xfId="46" applyNumberFormat="1" applyFont="1" applyFill="1" applyBorder="1" applyAlignment="1" applyProtection="1">
      <alignment horizontal="center" vertical="center"/>
      <protection hidden="1"/>
    </xf>
    <xf numFmtId="196" fontId="4" fillId="16" borderId="13" xfId="46" applyNumberFormat="1" applyFont="1" applyFill="1" applyBorder="1" applyAlignment="1" applyProtection="1">
      <alignment horizontal="center" vertical="center"/>
      <protection hidden="1"/>
    </xf>
    <xf numFmtId="192" fontId="3" fillId="0" borderId="68" xfId="62" applyNumberFormat="1" applyFont="1" applyFill="1" applyBorder="1" applyAlignment="1" applyProtection="1">
      <alignment horizontal="center"/>
      <protection hidden="1"/>
    </xf>
    <xf numFmtId="192" fontId="3" fillId="0" borderId="69" xfId="62" applyNumberFormat="1" applyFont="1" applyFill="1" applyBorder="1" applyAlignment="1" applyProtection="1">
      <alignment horizontal="center"/>
      <protection hidden="1"/>
    </xf>
    <xf numFmtId="192" fontId="3" fillId="0" borderId="70" xfId="62" applyNumberFormat="1" applyFont="1" applyBorder="1" applyAlignment="1" applyProtection="1">
      <alignment horizontal="center"/>
      <protection hidden="1"/>
    </xf>
    <xf numFmtId="192" fontId="3" fillId="0" borderId="0" xfId="46" applyNumberFormat="1" applyFont="1" applyBorder="1" applyAlignment="1" applyProtection="1">
      <alignment horizontal="center" vertical="center"/>
      <protection locked="0"/>
    </xf>
    <xf numFmtId="192" fontId="3" fillId="0" borderId="68" xfId="62" applyNumberFormat="1" applyFont="1" applyBorder="1" applyAlignment="1" applyProtection="1">
      <alignment horizontal="center"/>
      <protection hidden="1"/>
    </xf>
    <xf numFmtId="192" fontId="3" fillId="0" borderId="13" xfId="62" applyNumberFormat="1" applyFont="1" applyFill="1" applyBorder="1" applyAlignment="1" applyProtection="1">
      <alignment horizontal="center"/>
      <protection hidden="1"/>
    </xf>
    <xf numFmtId="176" fontId="65" fillId="0" borderId="71" xfId="0" applyNumberFormat="1" applyFont="1" applyBorder="1" applyAlignment="1" applyProtection="1">
      <alignment horizontal="center" vertical="center" wrapText="1"/>
      <protection hidden="1"/>
    </xf>
    <xf numFmtId="0" fontId="3" fillId="4" borderId="0" xfId="0" applyFont="1" applyFill="1" applyBorder="1" applyAlignment="1" applyProtection="1">
      <alignment horizontal="center" vertical="center" textRotation="90" wrapText="1"/>
      <protection locked="0"/>
    </xf>
    <xf numFmtId="0" fontId="3" fillId="4" borderId="30" xfId="0" applyFont="1" applyFill="1" applyBorder="1" applyAlignment="1" applyProtection="1">
      <alignment horizontal="center" vertical="center" textRotation="90" wrapText="1"/>
      <protection locked="0"/>
    </xf>
    <xf numFmtId="0" fontId="35" fillId="0" borderId="32" xfId="0" applyFont="1" applyBorder="1" applyAlignment="1" applyProtection="1">
      <alignment horizontal="center" wrapText="1"/>
      <protection locked="0"/>
    </xf>
    <xf numFmtId="0" fontId="35" fillId="0" borderId="30" xfId="0" applyFont="1" applyBorder="1" applyAlignment="1" applyProtection="1">
      <alignment horizontal="center" wrapText="1"/>
      <protection locked="0"/>
    </xf>
    <xf numFmtId="0" fontId="35" fillId="0" borderId="31" xfId="0" applyFont="1" applyBorder="1" applyAlignment="1" applyProtection="1">
      <alignment horizontal="center" wrapText="1"/>
      <protection locked="0"/>
    </xf>
    <xf numFmtId="41" fontId="23" fillId="0" borderId="0" xfId="50" applyNumberFormat="1" applyFont="1" applyBorder="1" applyAlignment="1" applyProtection="1">
      <alignment horizontal="center" vertical="center" wrapText="1"/>
      <protection hidden="1"/>
    </xf>
    <xf numFmtId="41" fontId="23" fillId="0" borderId="12" xfId="50" applyNumberFormat="1" applyFont="1" applyBorder="1" applyAlignment="1" applyProtection="1">
      <alignment horizontal="center" vertical="center" wrapText="1"/>
      <protection hidden="1"/>
    </xf>
    <xf numFmtId="173" fontId="4" fillId="0" borderId="27" xfId="0" applyNumberFormat="1" applyFont="1" applyBorder="1" applyAlignment="1" applyProtection="1">
      <alignment horizontal="center" vertical="center" wrapText="1"/>
      <protection locked="0"/>
    </xf>
    <xf numFmtId="173" fontId="4" fillId="0" borderId="0" xfId="0" applyNumberFormat="1"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41" fontId="4" fillId="0" borderId="26" xfId="0" applyNumberFormat="1" applyFont="1" applyBorder="1" applyAlignment="1" applyProtection="1">
      <alignment horizontal="center" vertical="center"/>
      <protection locked="0"/>
    </xf>
    <xf numFmtId="41" fontId="4" fillId="0" borderId="28" xfId="0" applyNumberFormat="1" applyFont="1" applyBorder="1" applyAlignment="1" applyProtection="1">
      <alignment horizontal="center" vertical="center"/>
      <protection locked="0"/>
    </xf>
    <xf numFmtId="173" fontId="58" fillId="26" borderId="72" xfId="0" applyNumberFormat="1" applyFont="1" applyFill="1" applyBorder="1" applyAlignment="1" applyProtection="1">
      <alignment horizontal="center" vertical="center" wrapText="1"/>
      <protection locked="0"/>
    </xf>
    <xf numFmtId="173" fontId="58" fillId="26" borderId="73" xfId="0" applyNumberFormat="1" applyFont="1" applyFill="1" applyBorder="1" applyAlignment="1" applyProtection="1">
      <alignment horizontal="center" vertical="center" wrapText="1"/>
      <protection locked="0"/>
    </xf>
    <xf numFmtId="173" fontId="58" fillId="26" borderId="60" xfId="0" applyNumberFormat="1" applyFont="1" applyFill="1" applyBorder="1" applyAlignment="1" applyProtection="1">
      <alignment horizontal="center" vertical="center" wrapText="1"/>
      <protection locked="0"/>
    </xf>
    <xf numFmtId="173" fontId="4" fillId="0" borderId="22" xfId="0" applyNumberFormat="1" applyFont="1" applyBorder="1" applyAlignment="1" applyProtection="1">
      <alignment horizontal="center" vertical="center" wrapText="1"/>
      <protection locked="0"/>
    </xf>
    <xf numFmtId="173" fontId="4" fillId="0" borderId="23" xfId="0" applyNumberFormat="1" applyFont="1" applyBorder="1" applyAlignment="1" applyProtection="1">
      <alignment horizontal="center" vertical="center" wrapText="1"/>
      <protection locked="0"/>
    </xf>
    <xf numFmtId="173" fontId="4" fillId="0" borderId="26" xfId="0" applyNumberFormat="1" applyFont="1" applyBorder="1" applyAlignment="1" applyProtection="1">
      <alignment horizontal="center" vertical="center" wrapText="1"/>
      <protection locked="0"/>
    </xf>
    <xf numFmtId="173" fontId="4" fillId="0" borderId="29" xfId="0" applyNumberFormat="1" applyFont="1" applyBorder="1" applyAlignment="1" applyProtection="1">
      <alignment horizontal="center" vertical="center" wrapText="1"/>
      <protection locked="0"/>
    </xf>
    <xf numFmtId="173" fontId="4" fillId="0" borderId="30" xfId="0" applyNumberFormat="1" applyFont="1" applyBorder="1" applyAlignment="1" applyProtection="1">
      <alignment horizontal="center" vertical="center" wrapText="1"/>
      <protection locked="0"/>
    </xf>
    <xf numFmtId="173" fontId="4" fillId="0" borderId="33" xfId="0" applyNumberFormat="1" applyFont="1" applyBorder="1" applyAlignment="1" applyProtection="1">
      <alignment horizontal="center" vertical="center" wrapText="1"/>
      <protection locked="0"/>
    </xf>
    <xf numFmtId="0" fontId="57" fillId="25" borderId="29" xfId="0" applyFont="1" applyFill="1" applyBorder="1" applyAlignment="1" applyProtection="1">
      <alignment horizontal="center"/>
      <protection locked="0"/>
    </xf>
    <xf numFmtId="0" fontId="57" fillId="25" borderId="30" xfId="0" applyFont="1" applyFill="1" applyBorder="1" applyAlignment="1" applyProtection="1">
      <alignment horizontal="center"/>
      <protection locked="0"/>
    </xf>
    <xf numFmtId="41" fontId="6" fillId="25" borderId="26" xfId="0" applyNumberFormat="1" applyFont="1" applyFill="1" applyBorder="1" applyAlignment="1" applyProtection="1">
      <alignment horizontal="center" vertical="center"/>
      <protection locked="0"/>
    </xf>
    <xf numFmtId="41" fontId="6" fillId="25" borderId="28" xfId="0" applyNumberFormat="1" applyFont="1" applyFill="1" applyBorder="1" applyAlignment="1" applyProtection="1">
      <alignment horizontal="center" vertical="center"/>
      <protection locked="0"/>
    </xf>
    <xf numFmtId="173" fontId="23" fillId="25" borderId="22" xfId="0" applyNumberFormat="1" applyFont="1" applyFill="1" applyBorder="1" applyAlignment="1" applyProtection="1">
      <alignment horizontal="center" vertical="center" wrapText="1"/>
      <protection locked="0"/>
    </xf>
    <xf numFmtId="173" fontId="23" fillId="25" borderId="23" xfId="0" applyNumberFormat="1" applyFont="1" applyFill="1" applyBorder="1" applyAlignment="1" applyProtection="1">
      <alignment horizontal="center" vertical="center" wrapText="1"/>
      <protection locked="0"/>
    </xf>
    <xf numFmtId="173" fontId="23" fillId="25" borderId="27" xfId="0" applyNumberFormat="1" applyFont="1" applyFill="1" applyBorder="1" applyAlignment="1" applyProtection="1">
      <alignment horizontal="center" vertical="center" wrapText="1"/>
      <protection locked="0"/>
    </xf>
    <xf numFmtId="173" fontId="23" fillId="25" borderId="0" xfId="0" applyNumberFormat="1" applyFont="1" applyFill="1" applyBorder="1" applyAlignment="1" applyProtection="1">
      <alignment horizontal="center" vertical="center" wrapText="1"/>
      <protection locked="0"/>
    </xf>
    <xf numFmtId="0" fontId="3" fillId="0" borderId="34" xfId="0" applyFont="1" applyBorder="1" applyAlignment="1" applyProtection="1">
      <alignment horizontal="center" wrapText="1"/>
      <protection locked="0"/>
    </xf>
    <xf numFmtId="0" fontId="3" fillId="0" borderId="35" xfId="0" applyFont="1" applyBorder="1" applyAlignment="1" applyProtection="1">
      <alignment horizontal="center" wrapText="1"/>
      <protection locked="0"/>
    </xf>
    <xf numFmtId="0" fontId="3" fillId="0" borderId="36" xfId="0" applyFont="1" applyBorder="1" applyAlignment="1" applyProtection="1">
      <alignment horizontal="center" wrapText="1"/>
      <protection locked="0"/>
    </xf>
    <xf numFmtId="173" fontId="23" fillId="26" borderId="72" xfId="0" applyNumberFormat="1" applyFont="1" applyFill="1" applyBorder="1" applyAlignment="1" applyProtection="1">
      <alignment horizontal="center" vertical="center"/>
      <protection locked="0"/>
    </xf>
    <xf numFmtId="173" fontId="23" fillId="26" borderId="73" xfId="0" applyNumberFormat="1" applyFont="1" applyFill="1" applyBorder="1" applyAlignment="1" applyProtection="1">
      <alignment horizontal="center" vertical="center"/>
      <protection locked="0"/>
    </xf>
    <xf numFmtId="173" fontId="23" fillId="26" borderId="60" xfId="0" applyNumberFormat="1" applyFont="1" applyFill="1" applyBorder="1" applyAlignment="1" applyProtection="1">
      <alignment horizontal="center" vertical="center"/>
      <protection locked="0"/>
    </xf>
    <xf numFmtId="173" fontId="3" fillId="0" borderId="10" xfId="0" applyNumberFormat="1" applyFont="1" applyBorder="1" applyAlignment="1" applyProtection="1">
      <alignment horizontal="center" wrapText="1"/>
      <protection locked="0"/>
    </xf>
    <xf numFmtId="173" fontId="3" fillId="0" borderId="0" xfId="0" applyNumberFormat="1" applyFont="1" applyBorder="1" applyAlignment="1" applyProtection="1">
      <alignment horizontal="center" wrapText="1"/>
      <protection locked="0"/>
    </xf>
    <xf numFmtId="173" fontId="3" fillId="0" borderId="11" xfId="0" applyNumberFormat="1" applyFont="1" applyBorder="1" applyAlignment="1" applyProtection="1">
      <alignment horizontal="center" wrapText="1"/>
      <protection locked="0"/>
    </xf>
    <xf numFmtId="173" fontId="3" fillId="0" borderId="16" xfId="0" applyNumberFormat="1" applyFont="1" applyBorder="1" applyAlignment="1" applyProtection="1">
      <alignment horizontal="center" vertical="center" wrapText="1"/>
      <protection locked="0"/>
    </xf>
    <xf numFmtId="173" fontId="3" fillId="0" borderId="17" xfId="0" applyNumberFormat="1" applyFont="1" applyBorder="1" applyAlignment="1" applyProtection="1">
      <alignment horizontal="center" vertical="center" wrapText="1"/>
      <protection locked="0"/>
    </xf>
    <xf numFmtId="173" fontId="3" fillId="0" borderId="18" xfId="0" applyNumberFormat="1" applyFont="1" applyBorder="1" applyAlignment="1" applyProtection="1">
      <alignment horizontal="center" vertical="center" wrapText="1"/>
      <protection locked="0"/>
    </xf>
    <xf numFmtId="173" fontId="3" fillId="0" borderId="14" xfId="0" applyNumberFormat="1" applyFont="1" applyBorder="1" applyAlignment="1" applyProtection="1">
      <alignment horizontal="center" vertical="center" wrapText="1"/>
      <protection locked="0"/>
    </xf>
    <xf numFmtId="173" fontId="3" fillId="0" borderId="12" xfId="0" applyNumberFormat="1" applyFont="1" applyBorder="1" applyAlignment="1" applyProtection="1">
      <alignment horizontal="center" vertical="center" wrapText="1"/>
      <protection locked="0"/>
    </xf>
    <xf numFmtId="173" fontId="3" fillId="0" borderId="13" xfId="0" applyNumberFormat="1" applyFont="1" applyBorder="1" applyAlignment="1" applyProtection="1">
      <alignment horizontal="center" vertical="center" wrapText="1"/>
      <protection locked="0"/>
    </xf>
    <xf numFmtId="173" fontId="58" fillId="26" borderId="72" xfId="0" applyNumberFormat="1" applyFont="1" applyFill="1" applyBorder="1" applyAlignment="1" applyProtection="1">
      <alignment horizontal="center" vertical="center"/>
      <protection locked="0"/>
    </xf>
    <xf numFmtId="173" fontId="58" fillId="26" borderId="73" xfId="0" applyNumberFormat="1" applyFont="1" applyFill="1" applyBorder="1" applyAlignment="1" applyProtection="1">
      <alignment horizontal="center" vertical="center"/>
      <protection locked="0"/>
    </xf>
    <xf numFmtId="173" fontId="58" fillId="26" borderId="60" xfId="0" applyNumberFormat="1" applyFont="1" applyFill="1" applyBorder="1" applyAlignment="1" applyProtection="1">
      <alignment horizontal="center" vertical="center"/>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33.emf" /><Relationship Id="rId3" Type="http://schemas.openxmlformats.org/officeDocument/2006/relationships/image" Target="../media/image34.emf" /><Relationship Id="rId4" Type="http://schemas.openxmlformats.org/officeDocument/2006/relationships/image" Target="../media/image35.emf" /><Relationship Id="rId5" Type="http://schemas.openxmlformats.org/officeDocument/2006/relationships/image" Target="../media/image36.emf" /><Relationship Id="rId6" Type="http://schemas.openxmlformats.org/officeDocument/2006/relationships/image" Target="../media/image39.emf" /><Relationship Id="rId7" Type="http://schemas.openxmlformats.org/officeDocument/2006/relationships/image" Target="../media/image40.emf" /><Relationship Id="rId8" Type="http://schemas.openxmlformats.org/officeDocument/2006/relationships/image" Target="../media/image41.emf" /><Relationship Id="rId9" Type="http://schemas.openxmlformats.org/officeDocument/2006/relationships/image" Target="../media/image42.emf" /><Relationship Id="rId10" Type="http://schemas.openxmlformats.org/officeDocument/2006/relationships/image" Target="../media/image43.emf" /><Relationship Id="rId11" Type="http://schemas.openxmlformats.org/officeDocument/2006/relationships/image" Target="../media/image44.emf" /><Relationship Id="rId12" Type="http://schemas.openxmlformats.org/officeDocument/2006/relationships/image" Target="../media/image45.emf" /><Relationship Id="rId13" Type="http://schemas.openxmlformats.org/officeDocument/2006/relationships/image" Target="../media/image46.emf" /><Relationship Id="rId14" Type="http://schemas.openxmlformats.org/officeDocument/2006/relationships/image" Target="../media/image10.emf" /><Relationship Id="rId15" Type="http://schemas.openxmlformats.org/officeDocument/2006/relationships/image" Target="../media/image18.emf" /><Relationship Id="rId16" Type="http://schemas.openxmlformats.org/officeDocument/2006/relationships/image" Target="../media/image19.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33.emf" /><Relationship Id="rId3" Type="http://schemas.openxmlformats.org/officeDocument/2006/relationships/image" Target="../media/image34.emf" /><Relationship Id="rId4" Type="http://schemas.openxmlformats.org/officeDocument/2006/relationships/image" Target="../media/image35.emf" /><Relationship Id="rId5" Type="http://schemas.openxmlformats.org/officeDocument/2006/relationships/image" Target="../media/image36.emf" /><Relationship Id="rId6" Type="http://schemas.openxmlformats.org/officeDocument/2006/relationships/image" Target="../media/image39.emf" /><Relationship Id="rId7" Type="http://schemas.openxmlformats.org/officeDocument/2006/relationships/image" Target="../media/image40.emf" /><Relationship Id="rId8" Type="http://schemas.openxmlformats.org/officeDocument/2006/relationships/image" Target="../media/image41.emf" /><Relationship Id="rId9" Type="http://schemas.openxmlformats.org/officeDocument/2006/relationships/image" Target="../media/image42.emf" /><Relationship Id="rId10" Type="http://schemas.openxmlformats.org/officeDocument/2006/relationships/image" Target="../media/image43.emf" /><Relationship Id="rId11" Type="http://schemas.openxmlformats.org/officeDocument/2006/relationships/image" Target="../media/image44.emf" /><Relationship Id="rId12" Type="http://schemas.openxmlformats.org/officeDocument/2006/relationships/image" Target="../media/image45.emf" /><Relationship Id="rId13" Type="http://schemas.openxmlformats.org/officeDocument/2006/relationships/image" Target="../media/image46.emf" /><Relationship Id="rId14" Type="http://schemas.openxmlformats.org/officeDocument/2006/relationships/image" Target="../media/image1.emf" /><Relationship Id="rId15" Type="http://schemas.openxmlformats.org/officeDocument/2006/relationships/image" Target="../media/image16.emf" /><Relationship Id="rId16"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5.emf" /><Relationship Id="rId3" Type="http://schemas.openxmlformats.org/officeDocument/2006/relationships/image" Target="../media/image5.emf" /><Relationship Id="rId4" Type="http://schemas.openxmlformats.org/officeDocument/2006/relationships/image" Target="../media/image46.emf" /><Relationship Id="rId5" Type="http://schemas.openxmlformats.org/officeDocument/2006/relationships/image" Target="../media/image22.emf" /><Relationship Id="rId6" Type="http://schemas.openxmlformats.org/officeDocument/2006/relationships/image" Target="../media/image7.emf" /><Relationship Id="rId7" Type="http://schemas.openxmlformats.org/officeDocument/2006/relationships/image" Target="../media/image9.emf" /><Relationship Id="rId8" Type="http://schemas.openxmlformats.org/officeDocument/2006/relationships/image" Target="../media/image13.emf" /><Relationship Id="rId9" Type="http://schemas.openxmlformats.org/officeDocument/2006/relationships/image" Target="../media/image27.emf" /></Relationships>
</file>

<file path=xl/drawings/_rels/drawing4.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29.emf" /><Relationship Id="rId3" Type="http://schemas.openxmlformats.org/officeDocument/2006/relationships/image" Target="../media/image17.emf" /><Relationship Id="rId4" Type="http://schemas.openxmlformats.org/officeDocument/2006/relationships/image" Target="../media/image22.emf" /><Relationship Id="rId5" Type="http://schemas.openxmlformats.org/officeDocument/2006/relationships/image" Target="../media/image46.emf" /><Relationship Id="rId6" Type="http://schemas.openxmlformats.org/officeDocument/2006/relationships/image" Target="../media/image6.emf" /><Relationship Id="rId7" Type="http://schemas.openxmlformats.org/officeDocument/2006/relationships/image" Target="../media/image26.emf" /><Relationship Id="rId8" Type="http://schemas.openxmlformats.org/officeDocument/2006/relationships/image" Target="../media/image30.emf" /><Relationship Id="rId9" Type="http://schemas.openxmlformats.org/officeDocument/2006/relationships/image" Target="../media/image11.emf" /></Relationships>
</file>

<file path=xl/drawings/_rels/drawing5.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31.emf" /><Relationship Id="rId3" Type="http://schemas.openxmlformats.org/officeDocument/2006/relationships/image" Target="../media/image23.emf" /><Relationship Id="rId4" Type="http://schemas.openxmlformats.org/officeDocument/2006/relationships/image" Target="../media/image22.emf" /><Relationship Id="rId5" Type="http://schemas.openxmlformats.org/officeDocument/2006/relationships/image" Target="../media/image46.emf" /><Relationship Id="rId6" Type="http://schemas.openxmlformats.org/officeDocument/2006/relationships/image" Target="../media/image25.emf" /><Relationship Id="rId7" Type="http://schemas.openxmlformats.org/officeDocument/2006/relationships/image" Target="../media/image20.emf" /><Relationship Id="rId8" Type="http://schemas.openxmlformats.org/officeDocument/2006/relationships/image" Target="../media/image2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8</xdr:col>
      <xdr:colOff>0</xdr:colOff>
      <xdr:row>1</xdr:row>
      <xdr:rowOff>161925</xdr:rowOff>
    </xdr:to>
    <xdr:sp>
      <xdr:nvSpPr>
        <xdr:cNvPr id="1" name="Text Box 29"/>
        <xdr:cNvSpPr txBox="1">
          <a:spLocks noChangeArrowheads="1"/>
        </xdr:cNvSpPr>
      </xdr:nvSpPr>
      <xdr:spPr>
        <a:xfrm>
          <a:off x="9525" y="0"/>
          <a:ext cx="7296150" cy="44767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PARCELLA PER PRESTAZIONI PROFESSIONALI OPERE PUBBLICHE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Legge 2,3,1949 n.143 e successive modifiche e integrazioni    /      D.M.04-04-2001 (G.U. del 26-04-01)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59</xdr:row>
      <xdr:rowOff>9525</xdr:rowOff>
    </xdr:from>
    <xdr:to>
      <xdr:col>5</xdr:col>
      <xdr:colOff>723900</xdr:colOff>
      <xdr:row>68</xdr:row>
      <xdr:rowOff>0</xdr:rowOff>
    </xdr:to>
    <xdr:sp>
      <xdr:nvSpPr>
        <xdr:cNvPr id="2" name="Text Box 41"/>
        <xdr:cNvSpPr txBox="1">
          <a:spLocks noChangeArrowheads="1"/>
        </xdr:cNvSpPr>
      </xdr:nvSpPr>
      <xdr:spPr>
        <a:xfrm>
          <a:off x="19050" y="9477375"/>
          <a:ext cx="4514850" cy="1428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NOTE:     </a:t>
          </a:r>
        </a:p>
      </xdr:txBody>
    </xdr:sp>
    <xdr:clientData/>
  </xdr:twoCellAnchor>
  <xdr:twoCellAnchor>
    <xdr:from>
      <xdr:col>5</xdr:col>
      <xdr:colOff>714375</xdr:colOff>
      <xdr:row>59</xdr:row>
      <xdr:rowOff>9525</xdr:rowOff>
    </xdr:from>
    <xdr:to>
      <xdr:col>8</xdr:col>
      <xdr:colOff>0</xdr:colOff>
      <xdr:row>68</xdr:row>
      <xdr:rowOff>0</xdr:rowOff>
    </xdr:to>
    <xdr:sp>
      <xdr:nvSpPr>
        <xdr:cNvPr id="3" name="Text Box 42"/>
        <xdr:cNvSpPr txBox="1">
          <a:spLocks noChangeArrowheads="1"/>
        </xdr:cNvSpPr>
      </xdr:nvSpPr>
      <xdr:spPr>
        <a:xfrm>
          <a:off x="4524375" y="9477375"/>
          <a:ext cx="2781300" cy="1428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Timbro e firma del professionista.</a:t>
          </a:r>
        </a:p>
      </xdr:txBody>
    </xdr:sp>
    <xdr:clientData/>
  </xdr:twoCellAnchor>
  <xdr:twoCellAnchor editAs="oneCell">
    <xdr:from>
      <xdr:col>3</xdr:col>
      <xdr:colOff>0</xdr:colOff>
      <xdr:row>14</xdr:row>
      <xdr:rowOff>0</xdr:rowOff>
    </xdr:from>
    <xdr:to>
      <xdr:col>5</xdr:col>
      <xdr:colOff>0</xdr:colOff>
      <xdr:row>14</xdr:row>
      <xdr:rowOff>142875</xdr:rowOff>
    </xdr:to>
    <xdr:pic>
      <xdr:nvPicPr>
        <xdr:cNvPr id="4" name="CheckBox1"/>
        <xdr:cNvPicPr preferRelativeResize="1">
          <a:picLocks noChangeAspect="1"/>
        </xdr:cNvPicPr>
      </xdr:nvPicPr>
      <xdr:blipFill>
        <a:blip r:embed="rId1"/>
        <a:stretch>
          <a:fillRect/>
        </a:stretch>
      </xdr:blipFill>
      <xdr:spPr>
        <a:xfrm>
          <a:off x="3676650" y="2333625"/>
          <a:ext cx="133350" cy="142875"/>
        </a:xfrm>
        <a:prstGeom prst="rect">
          <a:avLst/>
        </a:prstGeom>
        <a:noFill/>
        <a:ln w="9525" cmpd="sng">
          <a:noFill/>
        </a:ln>
      </xdr:spPr>
    </xdr:pic>
    <xdr:clientData fPrintsWithSheet="0"/>
  </xdr:twoCellAnchor>
  <xdr:twoCellAnchor editAs="oneCell">
    <xdr:from>
      <xdr:col>3</xdr:col>
      <xdr:colOff>0</xdr:colOff>
      <xdr:row>16</xdr:row>
      <xdr:rowOff>9525</xdr:rowOff>
    </xdr:from>
    <xdr:to>
      <xdr:col>5</xdr:col>
      <xdr:colOff>19050</xdr:colOff>
      <xdr:row>16</xdr:row>
      <xdr:rowOff>133350</xdr:rowOff>
    </xdr:to>
    <xdr:pic>
      <xdr:nvPicPr>
        <xdr:cNvPr id="5" name="CheckBox3"/>
        <xdr:cNvPicPr preferRelativeResize="1">
          <a:picLocks noChangeAspect="1"/>
        </xdr:cNvPicPr>
      </xdr:nvPicPr>
      <xdr:blipFill>
        <a:blip r:embed="rId2"/>
        <a:stretch>
          <a:fillRect/>
        </a:stretch>
      </xdr:blipFill>
      <xdr:spPr>
        <a:xfrm>
          <a:off x="3676650" y="2647950"/>
          <a:ext cx="152400" cy="123825"/>
        </a:xfrm>
        <a:prstGeom prst="rect">
          <a:avLst/>
        </a:prstGeom>
        <a:noFill/>
        <a:ln w="9525" cmpd="sng">
          <a:noFill/>
        </a:ln>
      </xdr:spPr>
    </xdr:pic>
    <xdr:clientData fPrintsWithSheet="0"/>
  </xdr:twoCellAnchor>
  <xdr:twoCellAnchor editAs="oneCell">
    <xdr:from>
      <xdr:col>3</xdr:col>
      <xdr:colOff>0</xdr:colOff>
      <xdr:row>15</xdr:row>
      <xdr:rowOff>28575</xdr:rowOff>
    </xdr:from>
    <xdr:to>
      <xdr:col>5</xdr:col>
      <xdr:colOff>19050</xdr:colOff>
      <xdr:row>15</xdr:row>
      <xdr:rowOff>152400</xdr:rowOff>
    </xdr:to>
    <xdr:pic>
      <xdr:nvPicPr>
        <xdr:cNvPr id="6" name="CheckBox6"/>
        <xdr:cNvPicPr preferRelativeResize="1">
          <a:picLocks noChangeAspect="1"/>
        </xdr:cNvPicPr>
      </xdr:nvPicPr>
      <xdr:blipFill>
        <a:blip r:embed="rId2"/>
        <a:stretch>
          <a:fillRect/>
        </a:stretch>
      </xdr:blipFill>
      <xdr:spPr>
        <a:xfrm>
          <a:off x="3676650" y="2514600"/>
          <a:ext cx="152400" cy="123825"/>
        </a:xfrm>
        <a:prstGeom prst="rect">
          <a:avLst/>
        </a:prstGeom>
        <a:noFill/>
        <a:ln w="9525" cmpd="sng">
          <a:noFill/>
        </a:ln>
      </xdr:spPr>
    </xdr:pic>
    <xdr:clientData fPrintsWithSheet="0"/>
  </xdr:twoCellAnchor>
  <xdr:twoCellAnchor editAs="oneCell">
    <xdr:from>
      <xdr:col>3</xdr:col>
      <xdr:colOff>0</xdr:colOff>
      <xdr:row>17</xdr:row>
      <xdr:rowOff>9525</xdr:rowOff>
    </xdr:from>
    <xdr:to>
      <xdr:col>5</xdr:col>
      <xdr:colOff>38100</xdr:colOff>
      <xdr:row>18</xdr:row>
      <xdr:rowOff>9525</xdr:rowOff>
    </xdr:to>
    <xdr:pic>
      <xdr:nvPicPr>
        <xdr:cNvPr id="7" name="CheckBox4"/>
        <xdr:cNvPicPr preferRelativeResize="1">
          <a:picLocks noChangeAspect="1"/>
        </xdr:cNvPicPr>
      </xdr:nvPicPr>
      <xdr:blipFill>
        <a:blip r:embed="rId3"/>
        <a:stretch>
          <a:fillRect/>
        </a:stretch>
      </xdr:blipFill>
      <xdr:spPr>
        <a:xfrm>
          <a:off x="3676650" y="2800350"/>
          <a:ext cx="171450" cy="152400"/>
        </a:xfrm>
        <a:prstGeom prst="rect">
          <a:avLst/>
        </a:prstGeom>
        <a:noFill/>
        <a:ln w="9525" cmpd="sng">
          <a:noFill/>
        </a:ln>
      </xdr:spPr>
    </xdr:pic>
    <xdr:clientData fPrintsWithSheet="0"/>
  </xdr:twoCellAnchor>
  <xdr:twoCellAnchor editAs="oneCell">
    <xdr:from>
      <xdr:col>3</xdr:col>
      <xdr:colOff>0</xdr:colOff>
      <xdr:row>18</xdr:row>
      <xdr:rowOff>28575</xdr:rowOff>
    </xdr:from>
    <xdr:to>
      <xdr:col>5</xdr:col>
      <xdr:colOff>38100</xdr:colOff>
      <xdr:row>18</xdr:row>
      <xdr:rowOff>152400</xdr:rowOff>
    </xdr:to>
    <xdr:pic>
      <xdr:nvPicPr>
        <xdr:cNvPr id="8" name="CheckBox5"/>
        <xdr:cNvPicPr preferRelativeResize="1">
          <a:picLocks noChangeAspect="1"/>
        </xdr:cNvPicPr>
      </xdr:nvPicPr>
      <xdr:blipFill>
        <a:blip r:embed="rId4"/>
        <a:stretch>
          <a:fillRect/>
        </a:stretch>
      </xdr:blipFill>
      <xdr:spPr>
        <a:xfrm>
          <a:off x="3676650" y="2971800"/>
          <a:ext cx="171450" cy="123825"/>
        </a:xfrm>
        <a:prstGeom prst="rect">
          <a:avLst/>
        </a:prstGeom>
        <a:noFill/>
        <a:ln w="9525" cmpd="sng">
          <a:noFill/>
        </a:ln>
      </xdr:spPr>
    </xdr:pic>
    <xdr:clientData fPrintsWithSheet="0"/>
  </xdr:twoCellAnchor>
  <xdr:twoCellAnchor editAs="oneCell">
    <xdr:from>
      <xdr:col>3</xdr:col>
      <xdr:colOff>0</xdr:colOff>
      <xdr:row>19</xdr:row>
      <xdr:rowOff>9525</xdr:rowOff>
    </xdr:from>
    <xdr:to>
      <xdr:col>5</xdr:col>
      <xdr:colOff>0</xdr:colOff>
      <xdr:row>19</xdr:row>
      <xdr:rowOff>133350</xdr:rowOff>
    </xdr:to>
    <xdr:pic>
      <xdr:nvPicPr>
        <xdr:cNvPr id="9" name="CheckBox7"/>
        <xdr:cNvPicPr preferRelativeResize="1">
          <a:picLocks noChangeAspect="1"/>
        </xdr:cNvPicPr>
      </xdr:nvPicPr>
      <xdr:blipFill>
        <a:blip r:embed="rId5"/>
        <a:stretch>
          <a:fillRect/>
        </a:stretch>
      </xdr:blipFill>
      <xdr:spPr>
        <a:xfrm>
          <a:off x="3676650" y="3105150"/>
          <a:ext cx="133350" cy="123825"/>
        </a:xfrm>
        <a:prstGeom prst="rect">
          <a:avLst/>
        </a:prstGeom>
        <a:noFill/>
        <a:ln w="9525" cmpd="sng">
          <a:noFill/>
        </a:ln>
      </xdr:spPr>
    </xdr:pic>
    <xdr:clientData fPrintsWithSheet="0"/>
  </xdr:twoCellAnchor>
  <xdr:twoCellAnchor editAs="oneCell">
    <xdr:from>
      <xdr:col>3</xdr:col>
      <xdr:colOff>0</xdr:colOff>
      <xdr:row>20</xdr:row>
      <xdr:rowOff>28575</xdr:rowOff>
    </xdr:from>
    <xdr:to>
      <xdr:col>5</xdr:col>
      <xdr:colOff>19050</xdr:colOff>
      <xdr:row>20</xdr:row>
      <xdr:rowOff>142875</xdr:rowOff>
    </xdr:to>
    <xdr:pic>
      <xdr:nvPicPr>
        <xdr:cNvPr id="10" name="CheckBox8"/>
        <xdr:cNvPicPr preferRelativeResize="1">
          <a:picLocks noChangeAspect="1"/>
        </xdr:cNvPicPr>
      </xdr:nvPicPr>
      <xdr:blipFill>
        <a:blip r:embed="rId6"/>
        <a:stretch>
          <a:fillRect/>
        </a:stretch>
      </xdr:blipFill>
      <xdr:spPr>
        <a:xfrm>
          <a:off x="3676650" y="3276600"/>
          <a:ext cx="152400" cy="114300"/>
        </a:xfrm>
        <a:prstGeom prst="rect">
          <a:avLst/>
        </a:prstGeom>
        <a:noFill/>
        <a:ln w="9525" cmpd="sng">
          <a:noFill/>
        </a:ln>
      </xdr:spPr>
    </xdr:pic>
    <xdr:clientData fPrintsWithSheet="0"/>
  </xdr:twoCellAnchor>
  <xdr:twoCellAnchor editAs="oneCell">
    <xdr:from>
      <xdr:col>3</xdr:col>
      <xdr:colOff>0</xdr:colOff>
      <xdr:row>21</xdr:row>
      <xdr:rowOff>28575</xdr:rowOff>
    </xdr:from>
    <xdr:to>
      <xdr:col>5</xdr:col>
      <xdr:colOff>19050</xdr:colOff>
      <xdr:row>22</xdr:row>
      <xdr:rowOff>9525</xdr:rowOff>
    </xdr:to>
    <xdr:pic>
      <xdr:nvPicPr>
        <xdr:cNvPr id="11" name="CheckBox9"/>
        <xdr:cNvPicPr preferRelativeResize="1">
          <a:picLocks noChangeAspect="1"/>
        </xdr:cNvPicPr>
      </xdr:nvPicPr>
      <xdr:blipFill>
        <a:blip r:embed="rId2"/>
        <a:stretch>
          <a:fillRect/>
        </a:stretch>
      </xdr:blipFill>
      <xdr:spPr>
        <a:xfrm>
          <a:off x="3676650" y="3429000"/>
          <a:ext cx="152400" cy="133350"/>
        </a:xfrm>
        <a:prstGeom prst="rect">
          <a:avLst/>
        </a:prstGeom>
        <a:noFill/>
        <a:ln w="9525" cmpd="sng">
          <a:noFill/>
        </a:ln>
      </xdr:spPr>
    </xdr:pic>
    <xdr:clientData fPrintsWithSheet="0"/>
  </xdr:twoCellAnchor>
  <xdr:twoCellAnchor editAs="oneCell">
    <xdr:from>
      <xdr:col>3</xdr:col>
      <xdr:colOff>0</xdr:colOff>
      <xdr:row>22</xdr:row>
      <xdr:rowOff>47625</xdr:rowOff>
    </xdr:from>
    <xdr:to>
      <xdr:col>5</xdr:col>
      <xdr:colOff>9525</xdr:colOff>
      <xdr:row>23</xdr:row>
      <xdr:rowOff>9525</xdr:rowOff>
    </xdr:to>
    <xdr:pic>
      <xdr:nvPicPr>
        <xdr:cNvPr id="12" name="CheckBox10"/>
        <xdr:cNvPicPr preferRelativeResize="1">
          <a:picLocks noChangeAspect="1"/>
        </xdr:cNvPicPr>
      </xdr:nvPicPr>
      <xdr:blipFill>
        <a:blip r:embed="rId7"/>
        <a:stretch>
          <a:fillRect/>
        </a:stretch>
      </xdr:blipFill>
      <xdr:spPr>
        <a:xfrm>
          <a:off x="3676650" y="3600450"/>
          <a:ext cx="142875" cy="114300"/>
        </a:xfrm>
        <a:prstGeom prst="rect">
          <a:avLst/>
        </a:prstGeom>
        <a:noFill/>
        <a:ln w="9525" cmpd="sng">
          <a:noFill/>
        </a:ln>
      </xdr:spPr>
    </xdr:pic>
    <xdr:clientData fPrintsWithSheet="0"/>
  </xdr:twoCellAnchor>
  <xdr:twoCellAnchor editAs="oneCell">
    <xdr:from>
      <xdr:col>3</xdr:col>
      <xdr:colOff>0</xdr:colOff>
      <xdr:row>23</xdr:row>
      <xdr:rowOff>28575</xdr:rowOff>
    </xdr:from>
    <xdr:to>
      <xdr:col>5</xdr:col>
      <xdr:colOff>19050</xdr:colOff>
      <xdr:row>23</xdr:row>
      <xdr:rowOff>152400</xdr:rowOff>
    </xdr:to>
    <xdr:pic>
      <xdr:nvPicPr>
        <xdr:cNvPr id="13" name="CheckBox11"/>
        <xdr:cNvPicPr preferRelativeResize="1">
          <a:picLocks noChangeAspect="1"/>
        </xdr:cNvPicPr>
      </xdr:nvPicPr>
      <xdr:blipFill>
        <a:blip r:embed="rId6"/>
        <a:stretch>
          <a:fillRect/>
        </a:stretch>
      </xdr:blipFill>
      <xdr:spPr>
        <a:xfrm>
          <a:off x="3676650" y="3733800"/>
          <a:ext cx="152400" cy="123825"/>
        </a:xfrm>
        <a:prstGeom prst="rect">
          <a:avLst/>
        </a:prstGeom>
        <a:noFill/>
        <a:ln w="9525" cmpd="sng">
          <a:noFill/>
        </a:ln>
      </xdr:spPr>
    </xdr:pic>
    <xdr:clientData fPrintsWithSheet="0"/>
  </xdr:twoCellAnchor>
  <xdr:twoCellAnchor editAs="oneCell">
    <xdr:from>
      <xdr:col>3</xdr:col>
      <xdr:colOff>0</xdr:colOff>
      <xdr:row>46</xdr:row>
      <xdr:rowOff>28575</xdr:rowOff>
    </xdr:from>
    <xdr:to>
      <xdr:col>5</xdr:col>
      <xdr:colOff>9525</xdr:colOff>
      <xdr:row>47</xdr:row>
      <xdr:rowOff>28575</xdr:rowOff>
    </xdr:to>
    <xdr:pic>
      <xdr:nvPicPr>
        <xdr:cNvPr id="14" name="CheckBox22"/>
        <xdr:cNvPicPr preferRelativeResize="1">
          <a:picLocks noChangeAspect="1"/>
        </xdr:cNvPicPr>
      </xdr:nvPicPr>
      <xdr:blipFill>
        <a:blip r:embed="rId8"/>
        <a:stretch>
          <a:fillRect/>
        </a:stretch>
      </xdr:blipFill>
      <xdr:spPr>
        <a:xfrm>
          <a:off x="3676650" y="7419975"/>
          <a:ext cx="142875" cy="152400"/>
        </a:xfrm>
        <a:prstGeom prst="rect">
          <a:avLst/>
        </a:prstGeom>
        <a:noFill/>
        <a:ln w="9525" cmpd="sng">
          <a:noFill/>
        </a:ln>
      </xdr:spPr>
    </xdr:pic>
    <xdr:clientData fPrintsWithSheet="0"/>
  </xdr:twoCellAnchor>
  <xdr:twoCellAnchor editAs="oneCell">
    <xdr:from>
      <xdr:col>3</xdr:col>
      <xdr:colOff>0</xdr:colOff>
      <xdr:row>47</xdr:row>
      <xdr:rowOff>9525</xdr:rowOff>
    </xdr:from>
    <xdr:to>
      <xdr:col>5</xdr:col>
      <xdr:colOff>38100</xdr:colOff>
      <xdr:row>48</xdr:row>
      <xdr:rowOff>9525</xdr:rowOff>
    </xdr:to>
    <xdr:pic>
      <xdr:nvPicPr>
        <xdr:cNvPr id="15" name="CheckBox23"/>
        <xdr:cNvPicPr preferRelativeResize="1">
          <a:picLocks noChangeAspect="1"/>
        </xdr:cNvPicPr>
      </xdr:nvPicPr>
      <xdr:blipFill>
        <a:blip r:embed="rId9"/>
        <a:stretch>
          <a:fillRect/>
        </a:stretch>
      </xdr:blipFill>
      <xdr:spPr>
        <a:xfrm>
          <a:off x="3676650" y="7553325"/>
          <a:ext cx="171450" cy="152400"/>
        </a:xfrm>
        <a:prstGeom prst="rect">
          <a:avLst/>
        </a:prstGeom>
        <a:noFill/>
        <a:ln w="9525" cmpd="sng">
          <a:noFill/>
        </a:ln>
      </xdr:spPr>
    </xdr:pic>
    <xdr:clientData fPrintsWithSheet="0"/>
  </xdr:twoCellAnchor>
  <xdr:twoCellAnchor editAs="oneCell">
    <xdr:from>
      <xdr:col>8</xdr:col>
      <xdr:colOff>47625</xdr:colOff>
      <xdr:row>13</xdr:row>
      <xdr:rowOff>28575</xdr:rowOff>
    </xdr:from>
    <xdr:to>
      <xdr:col>8</xdr:col>
      <xdr:colOff>200025</xdr:colOff>
      <xdr:row>13</xdr:row>
      <xdr:rowOff>152400</xdr:rowOff>
    </xdr:to>
    <xdr:pic>
      <xdr:nvPicPr>
        <xdr:cNvPr id="16" name="CheckBox28"/>
        <xdr:cNvPicPr preferRelativeResize="1">
          <a:picLocks noChangeAspect="1"/>
        </xdr:cNvPicPr>
      </xdr:nvPicPr>
      <xdr:blipFill>
        <a:blip r:embed="rId6"/>
        <a:stretch>
          <a:fillRect/>
        </a:stretch>
      </xdr:blipFill>
      <xdr:spPr>
        <a:xfrm>
          <a:off x="7353300" y="2209800"/>
          <a:ext cx="152400" cy="123825"/>
        </a:xfrm>
        <a:prstGeom prst="rect">
          <a:avLst/>
        </a:prstGeom>
        <a:noFill/>
        <a:ln w="9525" cmpd="sng">
          <a:noFill/>
        </a:ln>
      </xdr:spPr>
    </xdr:pic>
    <xdr:clientData fPrintsWithSheet="0"/>
  </xdr:twoCellAnchor>
  <xdr:twoCellAnchor editAs="oneCell">
    <xdr:from>
      <xdr:col>8</xdr:col>
      <xdr:colOff>57150</xdr:colOff>
      <xdr:row>18</xdr:row>
      <xdr:rowOff>9525</xdr:rowOff>
    </xdr:from>
    <xdr:to>
      <xdr:col>8</xdr:col>
      <xdr:colOff>257175</xdr:colOff>
      <xdr:row>18</xdr:row>
      <xdr:rowOff>152400</xdr:rowOff>
    </xdr:to>
    <xdr:pic>
      <xdr:nvPicPr>
        <xdr:cNvPr id="17" name="CheckBox29"/>
        <xdr:cNvPicPr preferRelativeResize="1">
          <a:picLocks noChangeAspect="1"/>
        </xdr:cNvPicPr>
      </xdr:nvPicPr>
      <xdr:blipFill>
        <a:blip r:embed="rId10"/>
        <a:stretch>
          <a:fillRect/>
        </a:stretch>
      </xdr:blipFill>
      <xdr:spPr>
        <a:xfrm>
          <a:off x="7362825" y="2952750"/>
          <a:ext cx="200025" cy="142875"/>
        </a:xfrm>
        <a:prstGeom prst="rect">
          <a:avLst/>
        </a:prstGeom>
        <a:noFill/>
        <a:ln w="9525" cmpd="sng">
          <a:noFill/>
        </a:ln>
      </xdr:spPr>
    </xdr:pic>
    <xdr:clientData fPrintsWithSheet="0"/>
  </xdr:twoCellAnchor>
  <xdr:twoCellAnchor editAs="oneCell">
    <xdr:from>
      <xdr:col>3</xdr:col>
      <xdr:colOff>9525</xdr:colOff>
      <xdr:row>57</xdr:row>
      <xdr:rowOff>9525</xdr:rowOff>
    </xdr:from>
    <xdr:to>
      <xdr:col>5</xdr:col>
      <xdr:colOff>9525</xdr:colOff>
      <xdr:row>57</xdr:row>
      <xdr:rowOff>161925</xdr:rowOff>
    </xdr:to>
    <xdr:pic>
      <xdr:nvPicPr>
        <xdr:cNvPr id="18" name="CheckBox32"/>
        <xdr:cNvPicPr preferRelativeResize="1">
          <a:picLocks noChangeAspect="1"/>
        </xdr:cNvPicPr>
      </xdr:nvPicPr>
      <xdr:blipFill>
        <a:blip r:embed="rId1"/>
        <a:stretch>
          <a:fillRect/>
        </a:stretch>
      </xdr:blipFill>
      <xdr:spPr>
        <a:xfrm>
          <a:off x="3686175" y="9144000"/>
          <a:ext cx="133350" cy="152400"/>
        </a:xfrm>
        <a:prstGeom prst="rect">
          <a:avLst/>
        </a:prstGeom>
        <a:noFill/>
        <a:ln w="9525" cmpd="sng">
          <a:noFill/>
        </a:ln>
      </xdr:spPr>
    </xdr:pic>
    <xdr:clientData fPrintsWithSheet="0"/>
  </xdr:twoCellAnchor>
  <xdr:twoCellAnchor editAs="oneCell">
    <xdr:from>
      <xdr:col>8</xdr:col>
      <xdr:colOff>47625</xdr:colOff>
      <xdr:row>37</xdr:row>
      <xdr:rowOff>9525</xdr:rowOff>
    </xdr:from>
    <xdr:to>
      <xdr:col>8</xdr:col>
      <xdr:colOff>190500</xdr:colOff>
      <xdr:row>37</xdr:row>
      <xdr:rowOff>123825</xdr:rowOff>
    </xdr:to>
    <xdr:pic>
      <xdr:nvPicPr>
        <xdr:cNvPr id="19" name="CheckBox34"/>
        <xdr:cNvPicPr preferRelativeResize="1">
          <a:picLocks noChangeAspect="1"/>
        </xdr:cNvPicPr>
      </xdr:nvPicPr>
      <xdr:blipFill>
        <a:blip r:embed="rId7"/>
        <a:stretch>
          <a:fillRect/>
        </a:stretch>
      </xdr:blipFill>
      <xdr:spPr>
        <a:xfrm>
          <a:off x="7353300" y="5848350"/>
          <a:ext cx="142875" cy="114300"/>
        </a:xfrm>
        <a:prstGeom prst="rect">
          <a:avLst/>
        </a:prstGeom>
        <a:noFill/>
        <a:ln w="9525" cmpd="sng">
          <a:noFill/>
        </a:ln>
      </xdr:spPr>
    </xdr:pic>
    <xdr:clientData fPrintsWithSheet="0"/>
  </xdr:twoCellAnchor>
  <xdr:twoCellAnchor editAs="oneCell">
    <xdr:from>
      <xdr:col>8</xdr:col>
      <xdr:colOff>28575</xdr:colOff>
      <xdr:row>35</xdr:row>
      <xdr:rowOff>0</xdr:rowOff>
    </xdr:from>
    <xdr:to>
      <xdr:col>8</xdr:col>
      <xdr:colOff>152400</xdr:colOff>
      <xdr:row>35</xdr:row>
      <xdr:rowOff>114300</xdr:rowOff>
    </xdr:to>
    <xdr:pic>
      <xdr:nvPicPr>
        <xdr:cNvPr id="20" name="CheckBox36"/>
        <xdr:cNvPicPr preferRelativeResize="1">
          <a:picLocks noChangeAspect="1"/>
        </xdr:cNvPicPr>
      </xdr:nvPicPr>
      <xdr:blipFill>
        <a:blip r:embed="rId11"/>
        <a:stretch>
          <a:fillRect/>
        </a:stretch>
      </xdr:blipFill>
      <xdr:spPr>
        <a:xfrm>
          <a:off x="7334250" y="5534025"/>
          <a:ext cx="123825" cy="114300"/>
        </a:xfrm>
        <a:prstGeom prst="rect">
          <a:avLst/>
        </a:prstGeom>
        <a:noFill/>
        <a:ln w="9525" cmpd="sng">
          <a:noFill/>
        </a:ln>
      </xdr:spPr>
    </xdr:pic>
    <xdr:clientData fPrintsWithSheet="0"/>
  </xdr:twoCellAnchor>
  <xdr:twoCellAnchor editAs="oneCell">
    <xdr:from>
      <xdr:col>8</xdr:col>
      <xdr:colOff>28575</xdr:colOff>
      <xdr:row>35</xdr:row>
      <xdr:rowOff>142875</xdr:rowOff>
    </xdr:from>
    <xdr:to>
      <xdr:col>8</xdr:col>
      <xdr:colOff>171450</xdr:colOff>
      <xdr:row>36</xdr:row>
      <xdr:rowOff>104775</xdr:rowOff>
    </xdr:to>
    <xdr:pic>
      <xdr:nvPicPr>
        <xdr:cNvPr id="21" name="CheckBox37"/>
        <xdr:cNvPicPr preferRelativeResize="1">
          <a:picLocks noChangeAspect="1"/>
        </xdr:cNvPicPr>
      </xdr:nvPicPr>
      <xdr:blipFill>
        <a:blip r:embed="rId12"/>
        <a:stretch>
          <a:fillRect/>
        </a:stretch>
      </xdr:blipFill>
      <xdr:spPr>
        <a:xfrm>
          <a:off x="7334250" y="5676900"/>
          <a:ext cx="133350" cy="114300"/>
        </a:xfrm>
        <a:prstGeom prst="rect">
          <a:avLst/>
        </a:prstGeom>
        <a:noFill/>
        <a:ln w="9525" cmpd="sng">
          <a:noFill/>
        </a:ln>
      </xdr:spPr>
    </xdr:pic>
    <xdr:clientData fPrintsWithSheet="0"/>
  </xdr:twoCellAnchor>
  <xdr:twoCellAnchor editAs="oneCell">
    <xdr:from>
      <xdr:col>8</xdr:col>
      <xdr:colOff>19050</xdr:colOff>
      <xdr:row>54</xdr:row>
      <xdr:rowOff>9525</xdr:rowOff>
    </xdr:from>
    <xdr:to>
      <xdr:col>8</xdr:col>
      <xdr:colOff>152400</xdr:colOff>
      <xdr:row>54</xdr:row>
      <xdr:rowOff>133350</xdr:rowOff>
    </xdr:to>
    <xdr:pic>
      <xdr:nvPicPr>
        <xdr:cNvPr id="22" name="CheckBox38"/>
        <xdr:cNvPicPr preferRelativeResize="1">
          <a:picLocks noChangeAspect="1"/>
        </xdr:cNvPicPr>
      </xdr:nvPicPr>
      <xdr:blipFill>
        <a:blip r:embed="rId13"/>
        <a:stretch>
          <a:fillRect/>
        </a:stretch>
      </xdr:blipFill>
      <xdr:spPr>
        <a:xfrm>
          <a:off x="7324725" y="8658225"/>
          <a:ext cx="133350" cy="123825"/>
        </a:xfrm>
        <a:prstGeom prst="rect">
          <a:avLst/>
        </a:prstGeom>
        <a:noFill/>
        <a:ln w="9525" cmpd="sng">
          <a:noFill/>
        </a:ln>
      </xdr:spPr>
    </xdr:pic>
    <xdr:clientData fPrintsWithSheet="0"/>
  </xdr:twoCellAnchor>
  <xdr:twoCellAnchor editAs="oneCell">
    <xdr:from>
      <xdr:col>3</xdr:col>
      <xdr:colOff>28575</xdr:colOff>
      <xdr:row>28</xdr:row>
      <xdr:rowOff>28575</xdr:rowOff>
    </xdr:from>
    <xdr:to>
      <xdr:col>5</xdr:col>
      <xdr:colOff>28575</xdr:colOff>
      <xdr:row>28</xdr:row>
      <xdr:rowOff>142875</xdr:rowOff>
    </xdr:to>
    <xdr:pic>
      <xdr:nvPicPr>
        <xdr:cNvPr id="23" name="CheckBox41"/>
        <xdr:cNvPicPr preferRelativeResize="1">
          <a:picLocks noChangeAspect="1"/>
        </xdr:cNvPicPr>
      </xdr:nvPicPr>
      <xdr:blipFill>
        <a:blip r:embed="rId7"/>
        <a:stretch>
          <a:fillRect/>
        </a:stretch>
      </xdr:blipFill>
      <xdr:spPr>
        <a:xfrm>
          <a:off x="3705225" y="4495800"/>
          <a:ext cx="142875" cy="114300"/>
        </a:xfrm>
        <a:prstGeom prst="rect">
          <a:avLst/>
        </a:prstGeom>
        <a:noFill/>
        <a:ln w="9525" cmpd="sng">
          <a:noFill/>
        </a:ln>
      </xdr:spPr>
    </xdr:pic>
    <xdr:clientData fPrintsWithSheet="0"/>
  </xdr:twoCellAnchor>
  <xdr:twoCellAnchor editAs="oneCell">
    <xdr:from>
      <xdr:col>0</xdr:col>
      <xdr:colOff>2257425</xdr:colOff>
      <xdr:row>11</xdr:row>
      <xdr:rowOff>9525</xdr:rowOff>
    </xdr:from>
    <xdr:to>
      <xdr:col>1</xdr:col>
      <xdr:colOff>447675</xdr:colOff>
      <xdr:row>11</xdr:row>
      <xdr:rowOff>219075</xdr:rowOff>
    </xdr:to>
    <xdr:pic>
      <xdr:nvPicPr>
        <xdr:cNvPr id="24" name="ComboBox1"/>
        <xdr:cNvPicPr preferRelativeResize="1">
          <a:picLocks noChangeAspect="1"/>
        </xdr:cNvPicPr>
      </xdr:nvPicPr>
      <xdr:blipFill>
        <a:blip r:embed="rId14"/>
        <a:stretch>
          <a:fillRect/>
        </a:stretch>
      </xdr:blipFill>
      <xdr:spPr>
        <a:xfrm>
          <a:off x="2257425" y="1819275"/>
          <a:ext cx="485775" cy="209550"/>
        </a:xfrm>
        <a:prstGeom prst="rect">
          <a:avLst/>
        </a:prstGeom>
        <a:noFill/>
        <a:ln w="9525" cmpd="sng">
          <a:noFill/>
        </a:ln>
      </xdr:spPr>
    </xdr:pic>
    <xdr:clientData fPrintsWithSheet="0"/>
  </xdr:twoCellAnchor>
  <xdr:twoCellAnchor editAs="oneCell">
    <xdr:from>
      <xdr:col>3</xdr:col>
      <xdr:colOff>9525</xdr:colOff>
      <xdr:row>30</xdr:row>
      <xdr:rowOff>28575</xdr:rowOff>
    </xdr:from>
    <xdr:to>
      <xdr:col>5</xdr:col>
      <xdr:colOff>38100</xdr:colOff>
      <xdr:row>30</xdr:row>
      <xdr:rowOff>152400</xdr:rowOff>
    </xdr:to>
    <xdr:pic>
      <xdr:nvPicPr>
        <xdr:cNvPr id="25" name="CheckBox42"/>
        <xdr:cNvPicPr preferRelativeResize="1">
          <a:picLocks noChangeAspect="1"/>
        </xdr:cNvPicPr>
      </xdr:nvPicPr>
      <xdr:blipFill>
        <a:blip r:embed="rId6"/>
        <a:stretch>
          <a:fillRect/>
        </a:stretch>
      </xdr:blipFill>
      <xdr:spPr>
        <a:xfrm>
          <a:off x="3686175" y="4800600"/>
          <a:ext cx="161925" cy="123825"/>
        </a:xfrm>
        <a:prstGeom prst="rect">
          <a:avLst/>
        </a:prstGeom>
        <a:noFill/>
        <a:ln w="9525" cmpd="sng">
          <a:noFill/>
        </a:ln>
      </xdr:spPr>
    </xdr:pic>
    <xdr:clientData fPrintsWithSheet="0"/>
  </xdr:twoCellAnchor>
  <xdr:twoCellAnchor editAs="oneCell">
    <xdr:from>
      <xdr:col>3</xdr:col>
      <xdr:colOff>9525</xdr:colOff>
      <xdr:row>32</xdr:row>
      <xdr:rowOff>0</xdr:rowOff>
    </xdr:from>
    <xdr:to>
      <xdr:col>5</xdr:col>
      <xdr:colOff>38100</xdr:colOff>
      <xdr:row>32</xdr:row>
      <xdr:rowOff>123825</xdr:rowOff>
    </xdr:to>
    <xdr:pic>
      <xdr:nvPicPr>
        <xdr:cNvPr id="26" name="CheckBox43"/>
        <xdr:cNvPicPr preferRelativeResize="1">
          <a:picLocks noChangeAspect="1"/>
        </xdr:cNvPicPr>
      </xdr:nvPicPr>
      <xdr:blipFill>
        <a:blip r:embed="rId6"/>
        <a:stretch>
          <a:fillRect/>
        </a:stretch>
      </xdr:blipFill>
      <xdr:spPr>
        <a:xfrm>
          <a:off x="3686175" y="5076825"/>
          <a:ext cx="161925" cy="123825"/>
        </a:xfrm>
        <a:prstGeom prst="rect">
          <a:avLst/>
        </a:prstGeom>
        <a:noFill/>
        <a:ln w="9525" cmpd="sng">
          <a:noFill/>
        </a:ln>
      </xdr:spPr>
    </xdr:pic>
    <xdr:clientData fPrintsWithSheet="0"/>
  </xdr:twoCellAnchor>
  <xdr:twoCellAnchor editAs="oneCell">
    <xdr:from>
      <xdr:col>8</xdr:col>
      <xdr:colOff>47625</xdr:colOff>
      <xdr:row>15</xdr:row>
      <xdr:rowOff>9525</xdr:rowOff>
    </xdr:from>
    <xdr:to>
      <xdr:col>8</xdr:col>
      <xdr:colOff>200025</xdr:colOff>
      <xdr:row>15</xdr:row>
      <xdr:rowOff>133350</xdr:rowOff>
    </xdr:to>
    <xdr:pic>
      <xdr:nvPicPr>
        <xdr:cNvPr id="27" name="CheckBox44"/>
        <xdr:cNvPicPr preferRelativeResize="1">
          <a:picLocks noChangeAspect="1"/>
        </xdr:cNvPicPr>
      </xdr:nvPicPr>
      <xdr:blipFill>
        <a:blip r:embed="rId6"/>
        <a:stretch>
          <a:fillRect/>
        </a:stretch>
      </xdr:blipFill>
      <xdr:spPr>
        <a:xfrm>
          <a:off x="7353300" y="2495550"/>
          <a:ext cx="152400" cy="123825"/>
        </a:xfrm>
        <a:prstGeom prst="rect">
          <a:avLst/>
        </a:prstGeom>
        <a:noFill/>
        <a:ln w="9525" cmpd="sng">
          <a:noFill/>
        </a:ln>
      </xdr:spPr>
    </xdr:pic>
    <xdr:clientData fPrintsWithSheet="0"/>
  </xdr:twoCellAnchor>
  <xdr:twoCellAnchor editAs="oneCell">
    <xdr:from>
      <xdr:col>8</xdr:col>
      <xdr:colOff>66675</xdr:colOff>
      <xdr:row>26</xdr:row>
      <xdr:rowOff>0</xdr:rowOff>
    </xdr:from>
    <xdr:to>
      <xdr:col>8</xdr:col>
      <xdr:colOff>266700</xdr:colOff>
      <xdr:row>26</xdr:row>
      <xdr:rowOff>142875</xdr:rowOff>
    </xdr:to>
    <xdr:pic>
      <xdr:nvPicPr>
        <xdr:cNvPr id="28" name="CheckBox2"/>
        <xdr:cNvPicPr preferRelativeResize="1">
          <a:picLocks noChangeAspect="1"/>
        </xdr:cNvPicPr>
      </xdr:nvPicPr>
      <xdr:blipFill>
        <a:blip r:embed="rId10"/>
        <a:stretch>
          <a:fillRect/>
        </a:stretch>
      </xdr:blipFill>
      <xdr:spPr>
        <a:xfrm>
          <a:off x="7372350" y="4162425"/>
          <a:ext cx="200025" cy="142875"/>
        </a:xfrm>
        <a:prstGeom prst="rect">
          <a:avLst/>
        </a:prstGeom>
        <a:noFill/>
        <a:ln w="9525" cmpd="sng">
          <a:noFill/>
        </a:ln>
      </xdr:spPr>
    </xdr:pic>
    <xdr:clientData fPrintsWithSheet="0"/>
  </xdr:twoCellAnchor>
  <xdr:twoCellAnchor editAs="oneCell">
    <xdr:from>
      <xdr:col>8</xdr:col>
      <xdr:colOff>57150</xdr:colOff>
      <xdr:row>21</xdr:row>
      <xdr:rowOff>9525</xdr:rowOff>
    </xdr:from>
    <xdr:to>
      <xdr:col>8</xdr:col>
      <xdr:colOff>257175</xdr:colOff>
      <xdr:row>21</xdr:row>
      <xdr:rowOff>152400</xdr:rowOff>
    </xdr:to>
    <xdr:pic>
      <xdr:nvPicPr>
        <xdr:cNvPr id="29" name="CheckBox12"/>
        <xdr:cNvPicPr preferRelativeResize="1">
          <a:picLocks noChangeAspect="1"/>
        </xdr:cNvPicPr>
      </xdr:nvPicPr>
      <xdr:blipFill>
        <a:blip r:embed="rId10"/>
        <a:stretch>
          <a:fillRect/>
        </a:stretch>
      </xdr:blipFill>
      <xdr:spPr>
        <a:xfrm>
          <a:off x="7362825" y="3409950"/>
          <a:ext cx="200025" cy="142875"/>
        </a:xfrm>
        <a:prstGeom prst="rect">
          <a:avLst/>
        </a:prstGeom>
        <a:noFill/>
        <a:ln w="9525" cmpd="sng">
          <a:noFill/>
        </a:ln>
      </xdr:spPr>
    </xdr:pic>
    <xdr:clientData fPrintsWithSheet="0"/>
  </xdr:twoCellAnchor>
  <xdr:twoCellAnchor editAs="oneCell">
    <xdr:from>
      <xdr:col>3</xdr:col>
      <xdr:colOff>9525</xdr:colOff>
      <xdr:row>13</xdr:row>
      <xdr:rowOff>0</xdr:rowOff>
    </xdr:from>
    <xdr:to>
      <xdr:col>5</xdr:col>
      <xdr:colOff>9525</xdr:colOff>
      <xdr:row>13</xdr:row>
      <xdr:rowOff>142875</xdr:rowOff>
    </xdr:to>
    <xdr:pic>
      <xdr:nvPicPr>
        <xdr:cNvPr id="30" name="CheckBox13"/>
        <xdr:cNvPicPr preferRelativeResize="1">
          <a:picLocks noChangeAspect="1"/>
        </xdr:cNvPicPr>
      </xdr:nvPicPr>
      <xdr:blipFill>
        <a:blip r:embed="rId1"/>
        <a:stretch>
          <a:fillRect/>
        </a:stretch>
      </xdr:blipFill>
      <xdr:spPr>
        <a:xfrm>
          <a:off x="3686175" y="2181225"/>
          <a:ext cx="133350" cy="142875"/>
        </a:xfrm>
        <a:prstGeom prst="rect">
          <a:avLst/>
        </a:prstGeom>
        <a:noFill/>
        <a:ln w="9525" cmpd="sng">
          <a:noFill/>
        </a:ln>
      </xdr:spPr>
    </xdr:pic>
    <xdr:clientData fPrintsWithSheet="0"/>
  </xdr:twoCellAnchor>
  <xdr:twoCellAnchor editAs="oneCell">
    <xdr:from>
      <xdr:col>8</xdr:col>
      <xdr:colOff>28575</xdr:colOff>
      <xdr:row>12</xdr:row>
      <xdr:rowOff>28575</xdr:rowOff>
    </xdr:from>
    <xdr:to>
      <xdr:col>8</xdr:col>
      <xdr:colOff>180975</xdr:colOff>
      <xdr:row>12</xdr:row>
      <xdr:rowOff>152400</xdr:rowOff>
    </xdr:to>
    <xdr:pic>
      <xdr:nvPicPr>
        <xdr:cNvPr id="31" name="CheckBox14"/>
        <xdr:cNvPicPr preferRelativeResize="1">
          <a:picLocks noChangeAspect="1"/>
        </xdr:cNvPicPr>
      </xdr:nvPicPr>
      <xdr:blipFill>
        <a:blip r:embed="rId6"/>
        <a:stretch>
          <a:fillRect/>
        </a:stretch>
      </xdr:blipFill>
      <xdr:spPr>
        <a:xfrm>
          <a:off x="7334250" y="2057400"/>
          <a:ext cx="152400" cy="123825"/>
        </a:xfrm>
        <a:prstGeom prst="rect">
          <a:avLst/>
        </a:prstGeom>
        <a:noFill/>
        <a:ln w="9525" cmpd="sng">
          <a:noFill/>
        </a:ln>
      </xdr:spPr>
    </xdr:pic>
    <xdr:clientData fPrintsWithSheet="0"/>
  </xdr:twoCellAnchor>
  <xdr:twoCellAnchor editAs="oneCell">
    <xdr:from>
      <xdr:col>8</xdr:col>
      <xdr:colOff>28575</xdr:colOff>
      <xdr:row>11</xdr:row>
      <xdr:rowOff>28575</xdr:rowOff>
    </xdr:from>
    <xdr:to>
      <xdr:col>8</xdr:col>
      <xdr:colOff>180975</xdr:colOff>
      <xdr:row>11</xdr:row>
      <xdr:rowOff>152400</xdr:rowOff>
    </xdr:to>
    <xdr:pic>
      <xdr:nvPicPr>
        <xdr:cNvPr id="32" name="CheckBox15"/>
        <xdr:cNvPicPr preferRelativeResize="1">
          <a:picLocks noChangeAspect="1"/>
        </xdr:cNvPicPr>
      </xdr:nvPicPr>
      <xdr:blipFill>
        <a:blip r:embed="rId6"/>
        <a:stretch>
          <a:fillRect/>
        </a:stretch>
      </xdr:blipFill>
      <xdr:spPr>
        <a:xfrm>
          <a:off x="7334250" y="1838325"/>
          <a:ext cx="152400" cy="123825"/>
        </a:xfrm>
        <a:prstGeom prst="rect">
          <a:avLst/>
        </a:prstGeom>
        <a:noFill/>
        <a:ln w="9525" cmpd="sng">
          <a:noFill/>
        </a:ln>
      </xdr:spPr>
    </xdr:pic>
    <xdr:clientData fPrintsWithSheet="0"/>
  </xdr:twoCellAnchor>
  <xdr:twoCellAnchor editAs="oneCell">
    <xdr:from>
      <xdr:col>8</xdr:col>
      <xdr:colOff>28575</xdr:colOff>
      <xdr:row>14</xdr:row>
      <xdr:rowOff>9525</xdr:rowOff>
    </xdr:from>
    <xdr:to>
      <xdr:col>8</xdr:col>
      <xdr:colOff>180975</xdr:colOff>
      <xdr:row>14</xdr:row>
      <xdr:rowOff>133350</xdr:rowOff>
    </xdr:to>
    <xdr:pic>
      <xdr:nvPicPr>
        <xdr:cNvPr id="33" name="CheckBox16"/>
        <xdr:cNvPicPr preferRelativeResize="1">
          <a:picLocks noChangeAspect="1"/>
        </xdr:cNvPicPr>
      </xdr:nvPicPr>
      <xdr:blipFill>
        <a:blip r:embed="rId6"/>
        <a:stretch>
          <a:fillRect/>
        </a:stretch>
      </xdr:blipFill>
      <xdr:spPr>
        <a:xfrm>
          <a:off x="7334250" y="2343150"/>
          <a:ext cx="152400" cy="123825"/>
        </a:xfrm>
        <a:prstGeom prst="rect">
          <a:avLst/>
        </a:prstGeom>
        <a:noFill/>
        <a:ln w="9525" cmpd="sng">
          <a:noFill/>
        </a:ln>
      </xdr:spPr>
    </xdr:pic>
    <xdr:clientData fPrintsWithSheet="0"/>
  </xdr:twoCellAnchor>
  <xdr:twoCellAnchor editAs="oneCell">
    <xdr:from>
      <xdr:col>8</xdr:col>
      <xdr:colOff>66675</xdr:colOff>
      <xdr:row>16</xdr:row>
      <xdr:rowOff>0</xdr:rowOff>
    </xdr:from>
    <xdr:to>
      <xdr:col>8</xdr:col>
      <xdr:colOff>219075</xdr:colOff>
      <xdr:row>16</xdr:row>
      <xdr:rowOff>123825</xdr:rowOff>
    </xdr:to>
    <xdr:pic>
      <xdr:nvPicPr>
        <xdr:cNvPr id="34" name="CheckBox17"/>
        <xdr:cNvPicPr preferRelativeResize="1">
          <a:picLocks noChangeAspect="1"/>
        </xdr:cNvPicPr>
      </xdr:nvPicPr>
      <xdr:blipFill>
        <a:blip r:embed="rId6"/>
        <a:stretch>
          <a:fillRect/>
        </a:stretch>
      </xdr:blipFill>
      <xdr:spPr>
        <a:xfrm>
          <a:off x="7372350" y="2638425"/>
          <a:ext cx="152400" cy="123825"/>
        </a:xfrm>
        <a:prstGeom prst="rect">
          <a:avLst/>
        </a:prstGeom>
        <a:noFill/>
        <a:ln w="9525" cmpd="sng">
          <a:noFill/>
        </a:ln>
      </xdr:spPr>
    </xdr:pic>
    <xdr:clientData fPrintsWithSheet="0"/>
  </xdr:twoCellAnchor>
  <xdr:twoCellAnchor editAs="oneCell">
    <xdr:from>
      <xdr:col>8</xdr:col>
      <xdr:colOff>66675</xdr:colOff>
      <xdr:row>17</xdr:row>
      <xdr:rowOff>9525</xdr:rowOff>
    </xdr:from>
    <xdr:to>
      <xdr:col>8</xdr:col>
      <xdr:colOff>219075</xdr:colOff>
      <xdr:row>17</xdr:row>
      <xdr:rowOff>133350</xdr:rowOff>
    </xdr:to>
    <xdr:pic>
      <xdr:nvPicPr>
        <xdr:cNvPr id="35" name="CheckBox18"/>
        <xdr:cNvPicPr preferRelativeResize="1">
          <a:picLocks noChangeAspect="1"/>
        </xdr:cNvPicPr>
      </xdr:nvPicPr>
      <xdr:blipFill>
        <a:blip r:embed="rId6"/>
        <a:stretch>
          <a:fillRect/>
        </a:stretch>
      </xdr:blipFill>
      <xdr:spPr>
        <a:xfrm>
          <a:off x="7372350" y="2800350"/>
          <a:ext cx="152400" cy="123825"/>
        </a:xfrm>
        <a:prstGeom prst="rect">
          <a:avLst/>
        </a:prstGeom>
        <a:noFill/>
        <a:ln w="9525" cmpd="sng">
          <a:noFill/>
        </a:ln>
      </xdr:spPr>
    </xdr:pic>
    <xdr:clientData fPrintsWithSheet="0"/>
  </xdr:twoCellAnchor>
  <xdr:twoCellAnchor editAs="oneCell">
    <xdr:from>
      <xdr:col>8</xdr:col>
      <xdr:colOff>66675</xdr:colOff>
      <xdr:row>19</xdr:row>
      <xdr:rowOff>9525</xdr:rowOff>
    </xdr:from>
    <xdr:to>
      <xdr:col>8</xdr:col>
      <xdr:colOff>266700</xdr:colOff>
      <xdr:row>19</xdr:row>
      <xdr:rowOff>152400</xdr:rowOff>
    </xdr:to>
    <xdr:pic>
      <xdr:nvPicPr>
        <xdr:cNvPr id="36" name="CheckBox19"/>
        <xdr:cNvPicPr preferRelativeResize="1">
          <a:picLocks noChangeAspect="1"/>
        </xdr:cNvPicPr>
      </xdr:nvPicPr>
      <xdr:blipFill>
        <a:blip r:embed="rId10"/>
        <a:stretch>
          <a:fillRect/>
        </a:stretch>
      </xdr:blipFill>
      <xdr:spPr>
        <a:xfrm>
          <a:off x="7372350" y="3105150"/>
          <a:ext cx="200025" cy="142875"/>
        </a:xfrm>
        <a:prstGeom prst="rect">
          <a:avLst/>
        </a:prstGeom>
        <a:noFill/>
        <a:ln w="9525" cmpd="sng">
          <a:noFill/>
        </a:ln>
      </xdr:spPr>
    </xdr:pic>
    <xdr:clientData fPrintsWithSheet="0"/>
  </xdr:twoCellAnchor>
  <xdr:twoCellAnchor editAs="oneCell">
    <xdr:from>
      <xdr:col>8</xdr:col>
      <xdr:colOff>57150</xdr:colOff>
      <xdr:row>20</xdr:row>
      <xdr:rowOff>9525</xdr:rowOff>
    </xdr:from>
    <xdr:to>
      <xdr:col>8</xdr:col>
      <xdr:colOff>257175</xdr:colOff>
      <xdr:row>20</xdr:row>
      <xdr:rowOff>152400</xdr:rowOff>
    </xdr:to>
    <xdr:pic>
      <xdr:nvPicPr>
        <xdr:cNvPr id="37" name="CheckBox20"/>
        <xdr:cNvPicPr preferRelativeResize="1">
          <a:picLocks noChangeAspect="1"/>
        </xdr:cNvPicPr>
      </xdr:nvPicPr>
      <xdr:blipFill>
        <a:blip r:embed="rId10"/>
        <a:stretch>
          <a:fillRect/>
        </a:stretch>
      </xdr:blipFill>
      <xdr:spPr>
        <a:xfrm>
          <a:off x="7362825" y="3257550"/>
          <a:ext cx="200025" cy="142875"/>
        </a:xfrm>
        <a:prstGeom prst="rect">
          <a:avLst/>
        </a:prstGeom>
        <a:noFill/>
        <a:ln w="9525" cmpd="sng">
          <a:noFill/>
        </a:ln>
      </xdr:spPr>
    </xdr:pic>
    <xdr:clientData fPrintsWithSheet="0"/>
  </xdr:twoCellAnchor>
  <xdr:twoCellAnchor editAs="oneCell">
    <xdr:from>
      <xdr:col>8</xdr:col>
      <xdr:colOff>47625</xdr:colOff>
      <xdr:row>22</xdr:row>
      <xdr:rowOff>9525</xdr:rowOff>
    </xdr:from>
    <xdr:to>
      <xdr:col>8</xdr:col>
      <xdr:colOff>247650</xdr:colOff>
      <xdr:row>22</xdr:row>
      <xdr:rowOff>152400</xdr:rowOff>
    </xdr:to>
    <xdr:pic>
      <xdr:nvPicPr>
        <xdr:cNvPr id="38" name="CheckBox21"/>
        <xdr:cNvPicPr preferRelativeResize="1">
          <a:picLocks noChangeAspect="1"/>
        </xdr:cNvPicPr>
      </xdr:nvPicPr>
      <xdr:blipFill>
        <a:blip r:embed="rId10"/>
        <a:stretch>
          <a:fillRect/>
        </a:stretch>
      </xdr:blipFill>
      <xdr:spPr>
        <a:xfrm>
          <a:off x="7353300" y="3562350"/>
          <a:ext cx="200025" cy="142875"/>
        </a:xfrm>
        <a:prstGeom prst="rect">
          <a:avLst/>
        </a:prstGeom>
        <a:noFill/>
        <a:ln w="9525" cmpd="sng">
          <a:noFill/>
        </a:ln>
      </xdr:spPr>
    </xdr:pic>
    <xdr:clientData fPrintsWithSheet="0"/>
  </xdr:twoCellAnchor>
  <xdr:twoCellAnchor editAs="oneCell">
    <xdr:from>
      <xdr:col>8</xdr:col>
      <xdr:colOff>47625</xdr:colOff>
      <xdr:row>23</xdr:row>
      <xdr:rowOff>0</xdr:rowOff>
    </xdr:from>
    <xdr:to>
      <xdr:col>8</xdr:col>
      <xdr:colOff>247650</xdr:colOff>
      <xdr:row>23</xdr:row>
      <xdr:rowOff>142875</xdr:rowOff>
    </xdr:to>
    <xdr:pic>
      <xdr:nvPicPr>
        <xdr:cNvPr id="39" name="CheckBox24"/>
        <xdr:cNvPicPr preferRelativeResize="1">
          <a:picLocks noChangeAspect="1"/>
        </xdr:cNvPicPr>
      </xdr:nvPicPr>
      <xdr:blipFill>
        <a:blip r:embed="rId10"/>
        <a:stretch>
          <a:fillRect/>
        </a:stretch>
      </xdr:blipFill>
      <xdr:spPr>
        <a:xfrm>
          <a:off x="7353300" y="3705225"/>
          <a:ext cx="200025" cy="142875"/>
        </a:xfrm>
        <a:prstGeom prst="rect">
          <a:avLst/>
        </a:prstGeom>
        <a:noFill/>
        <a:ln w="9525" cmpd="sng">
          <a:noFill/>
        </a:ln>
      </xdr:spPr>
    </xdr:pic>
    <xdr:clientData fPrintsWithSheet="0"/>
  </xdr:twoCellAnchor>
  <xdr:twoCellAnchor editAs="oneCell">
    <xdr:from>
      <xdr:col>8</xdr:col>
      <xdr:colOff>57150</xdr:colOff>
      <xdr:row>24</xdr:row>
      <xdr:rowOff>0</xdr:rowOff>
    </xdr:from>
    <xdr:to>
      <xdr:col>8</xdr:col>
      <xdr:colOff>257175</xdr:colOff>
      <xdr:row>24</xdr:row>
      <xdr:rowOff>142875</xdr:rowOff>
    </xdr:to>
    <xdr:pic>
      <xdr:nvPicPr>
        <xdr:cNvPr id="40" name="CheckBox25"/>
        <xdr:cNvPicPr preferRelativeResize="1">
          <a:picLocks noChangeAspect="1"/>
        </xdr:cNvPicPr>
      </xdr:nvPicPr>
      <xdr:blipFill>
        <a:blip r:embed="rId10"/>
        <a:stretch>
          <a:fillRect/>
        </a:stretch>
      </xdr:blipFill>
      <xdr:spPr>
        <a:xfrm>
          <a:off x="7362825" y="3857625"/>
          <a:ext cx="200025" cy="142875"/>
        </a:xfrm>
        <a:prstGeom prst="rect">
          <a:avLst/>
        </a:prstGeom>
        <a:noFill/>
        <a:ln w="9525" cmpd="sng">
          <a:noFill/>
        </a:ln>
      </xdr:spPr>
    </xdr:pic>
    <xdr:clientData fPrintsWithSheet="0"/>
  </xdr:twoCellAnchor>
  <xdr:twoCellAnchor editAs="oneCell">
    <xdr:from>
      <xdr:col>8</xdr:col>
      <xdr:colOff>57150</xdr:colOff>
      <xdr:row>24</xdr:row>
      <xdr:rowOff>142875</xdr:rowOff>
    </xdr:from>
    <xdr:to>
      <xdr:col>8</xdr:col>
      <xdr:colOff>257175</xdr:colOff>
      <xdr:row>25</xdr:row>
      <xdr:rowOff>142875</xdr:rowOff>
    </xdr:to>
    <xdr:pic>
      <xdr:nvPicPr>
        <xdr:cNvPr id="41" name="CheckBox26"/>
        <xdr:cNvPicPr preferRelativeResize="1">
          <a:picLocks noChangeAspect="1"/>
        </xdr:cNvPicPr>
      </xdr:nvPicPr>
      <xdr:blipFill>
        <a:blip r:embed="rId10"/>
        <a:stretch>
          <a:fillRect/>
        </a:stretch>
      </xdr:blipFill>
      <xdr:spPr>
        <a:xfrm>
          <a:off x="7362825" y="4000500"/>
          <a:ext cx="200025" cy="152400"/>
        </a:xfrm>
        <a:prstGeom prst="rect">
          <a:avLst/>
        </a:prstGeom>
        <a:noFill/>
        <a:ln w="9525" cmpd="sng">
          <a:noFill/>
        </a:ln>
      </xdr:spPr>
    </xdr:pic>
    <xdr:clientData fPrintsWithSheet="0"/>
  </xdr:twoCellAnchor>
  <xdr:twoCellAnchor editAs="oneCell">
    <xdr:from>
      <xdr:col>8</xdr:col>
      <xdr:colOff>76200</xdr:colOff>
      <xdr:row>27</xdr:row>
      <xdr:rowOff>28575</xdr:rowOff>
    </xdr:from>
    <xdr:to>
      <xdr:col>8</xdr:col>
      <xdr:colOff>276225</xdr:colOff>
      <xdr:row>28</xdr:row>
      <xdr:rowOff>9525</xdr:rowOff>
    </xdr:to>
    <xdr:pic>
      <xdr:nvPicPr>
        <xdr:cNvPr id="42" name="CheckBox27"/>
        <xdr:cNvPicPr preferRelativeResize="1">
          <a:picLocks noChangeAspect="1"/>
        </xdr:cNvPicPr>
      </xdr:nvPicPr>
      <xdr:blipFill>
        <a:blip r:embed="rId10"/>
        <a:stretch>
          <a:fillRect/>
        </a:stretch>
      </xdr:blipFill>
      <xdr:spPr>
        <a:xfrm>
          <a:off x="7381875" y="4343400"/>
          <a:ext cx="200025" cy="133350"/>
        </a:xfrm>
        <a:prstGeom prst="rect">
          <a:avLst/>
        </a:prstGeom>
        <a:noFill/>
        <a:ln w="9525" cmpd="sng">
          <a:noFill/>
        </a:ln>
      </xdr:spPr>
    </xdr:pic>
    <xdr:clientData fPrintsWithSheet="0"/>
  </xdr:twoCellAnchor>
  <xdr:twoCellAnchor editAs="oneCell">
    <xdr:from>
      <xdr:col>8</xdr:col>
      <xdr:colOff>28575</xdr:colOff>
      <xdr:row>38</xdr:row>
      <xdr:rowOff>28575</xdr:rowOff>
    </xdr:from>
    <xdr:to>
      <xdr:col>8</xdr:col>
      <xdr:colOff>171450</xdr:colOff>
      <xdr:row>38</xdr:row>
      <xdr:rowOff>142875</xdr:rowOff>
    </xdr:to>
    <xdr:pic>
      <xdr:nvPicPr>
        <xdr:cNvPr id="43" name="CheckBox30"/>
        <xdr:cNvPicPr preferRelativeResize="1">
          <a:picLocks noChangeAspect="1"/>
        </xdr:cNvPicPr>
      </xdr:nvPicPr>
      <xdr:blipFill>
        <a:blip r:embed="rId7"/>
        <a:stretch>
          <a:fillRect/>
        </a:stretch>
      </xdr:blipFill>
      <xdr:spPr>
        <a:xfrm>
          <a:off x="7334250" y="6019800"/>
          <a:ext cx="142875" cy="114300"/>
        </a:xfrm>
        <a:prstGeom prst="rect">
          <a:avLst/>
        </a:prstGeom>
        <a:noFill/>
        <a:ln w="9525" cmpd="sng">
          <a:noFill/>
        </a:ln>
      </xdr:spPr>
    </xdr:pic>
    <xdr:clientData fPrintsWithSheet="0"/>
  </xdr:twoCellAnchor>
  <xdr:twoCellAnchor editAs="oneCell">
    <xdr:from>
      <xdr:col>8</xdr:col>
      <xdr:colOff>47625</xdr:colOff>
      <xdr:row>39</xdr:row>
      <xdr:rowOff>28575</xdr:rowOff>
    </xdr:from>
    <xdr:to>
      <xdr:col>8</xdr:col>
      <xdr:colOff>190500</xdr:colOff>
      <xdr:row>39</xdr:row>
      <xdr:rowOff>142875</xdr:rowOff>
    </xdr:to>
    <xdr:pic>
      <xdr:nvPicPr>
        <xdr:cNvPr id="44" name="CheckBox31"/>
        <xdr:cNvPicPr preferRelativeResize="1">
          <a:picLocks noChangeAspect="1"/>
        </xdr:cNvPicPr>
      </xdr:nvPicPr>
      <xdr:blipFill>
        <a:blip r:embed="rId7"/>
        <a:stretch>
          <a:fillRect/>
        </a:stretch>
      </xdr:blipFill>
      <xdr:spPr>
        <a:xfrm>
          <a:off x="7353300" y="6172200"/>
          <a:ext cx="142875" cy="114300"/>
        </a:xfrm>
        <a:prstGeom prst="rect">
          <a:avLst/>
        </a:prstGeom>
        <a:noFill/>
        <a:ln w="9525" cmpd="sng">
          <a:noFill/>
        </a:ln>
      </xdr:spPr>
    </xdr:pic>
    <xdr:clientData fPrintsWithSheet="0"/>
  </xdr:twoCellAnchor>
  <xdr:twoCellAnchor editAs="oneCell">
    <xdr:from>
      <xdr:col>7</xdr:col>
      <xdr:colOff>133350</xdr:colOff>
      <xdr:row>43</xdr:row>
      <xdr:rowOff>47625</xdr:rowOff>
    </xdr:from>
    <xdr:to>
      <xdr:col>29</xdr:col>
      <xdr:colOff>133350</xdr:colOff>
      <xdr:row>44</xdr:row>
      <xdr:rowOff>142875</xdr:rowOff>
    </xdr:to>
    <xdr:pic>
      <xdr:nvPicPr>
        <xdr:cNvPr id="45" name="CommandButton1"/>
        <xdr:cNvPicPr preferRelativeResize="1">
          <a:picLocks noChangeAspect="1"/>
        </xdr:cNvPicPr>
      </xdr:nvPicPr>
      <xdr:blipFill>
        <a:blip r:embed="rId15"/>
        <a:stretch>
          <a:fillRect/>
        </a:stretch>
      </xdr:blipFill>
      <xdr:spPr>
        <a:xfrm>
          <a:off x="6591300" y="6981825"/>
          <a:ext cx="5153025" cy="247650"/>
        </a:xfrm>
        <a:prstGeom prst="rect">
          <a:avLst/>
        </a:prstGeom>
        <a:noFill/>
        <a:ln w="9525" cmpd="sng">
          <a:noFill/>
        </a:ln>
      </xdr:spPr>
    </xdr:pic>
    <xdr:clientData fPrintsWithSheet="0"/>
  </xdr:twoCellAnchor>
  <xdr:twoCellAnchor editAs="oneCell">
    <xdr:from>
      <xdr:col>5</xdr:col>
      <xdr:colOff>2066925</xdr:colOff>
      <xdr:row>10</xdr:row>
      <xdr:rowOff>28575</xdr:rowOff>
    </xdr:from>
    <xdr:to>
      <xdr:col>28</xdr:col>
      <xdr:colOff>19050</xdr:colOff>
      <xdr:row>10</xdr:row>
      <xdr:rowOff>285750</xdr:rowOff>
    </xdr:to>
    <xdr:pic>
      <xdr:nvPicPr>
        <xdr:cNvPr id="46" name="CommandButton2"/>
        <xdr:cNvPicPr preferRelativeResize="1">
          <a:picLocks noChangeAspect="1"/>
        </xdr:cNvPicPr>
      </xdr:nvPicPr>
      <xdr:blipFill>
        <a:blip r:embed="rId16"/>
        <a:stretch>
          <a:fillRect/>
        </a:stretch>
      </xdr:blipFill>
      <xdr:spPr>
        <a:xfrm>
          <a:off x="5876925" y="1543050"/>
          <a:ext cx="5143500" cy="2571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14</xdr:row>
      <xdr:rowOff>0</xdr:rowOff>
    </xdr:from>
    <xdr:to>
      <xdr:col>5</xdr:col>
      <xdr:colOff>0</xdr:colOff>
      <xdr:row>14</xdr:row>
      <xdr:rowOff>142875</xdr:rowOff>
    </xdr:to>
    <xdr:pic>
      <xdr:nvPicPr>
        <xdr:cNvPr id="1" name="CheckBox1"/>
        <xdr:cNvPicPr preferRelativeResize="1">
          <a:picLocks noChangeAspect="1"/>
        </xdr:cNvPicPr>
      </xdr:nvPicPr>
      <xdr:blipFill>
        <a:blip r:embed="rId1"/>
        <a:stretch>
          <a:fillRect/>
        </a:stretch>
      </xdr:blipFill>
      <xdr:spPr>
        <a:xfrm>
          <a:off x="3638550" y="2609850"/>
          <a:ext cx="133350" cy="142875"/>
        </a:xfrm>
        <a:prstGeom prst="rect">
          <a:avLst/>
        </a:prstGeom>
        <a:noFill/>
        <a:ln w="9525" cmpd="sng">
          <a:noFill/>
        </a:ln>
      </xdr:spPr>
    </xdr:pic>
    <xdr:clientData fPrintsWithSheet="0"/>
  </xdr:twoCellAnchor>
  <xdr:twoCellAnchor editAs="oneCell">
    <xdr:from>
      <xdr:col>3</xdr:col>
      <xdr:colOff>0</xdr:colOff>
      <xdr:row>16</xdr:row>
      <xdr:rowOff>9525</xdr:rowOff>
    </xdr:from>
    <xdr:to>
      <xdr:col>5</xdr:col>
      <xdr:colOff>19050</xdr:colOff>
      <xdr:row>16</xdr:row>
      <xdr:rowOff>133350</xdr:rowOff>
    </xdr:to>
    <xdr:pic>
      <xdr:nvPicPr>
        <xdr:cNvPr id="2" name="CheckBox3"/>
        <xdr:cNvPicPr preferRelativeResize="1">
          <a:picLocks noChangeAspect="1"/>
        </xdr:cNvPicPr>
      </xdr:nvPicPr>
      <xdr:blipFill>
        <a:blip r:embed="rId2"/>
        <a:stretch>
          <a:fillRect/>
        </a:stretch>
      </xdr:blipFill>
      <xdr:spPr>
        <a:xfrm>
          <a:off x="3638550" y="2924175"/>
          <a:ext cx="152400" cy="123825"/>
        </a:xfrm>
        <a:prstGeom prst="rect">
          <a:avLst/>
        </a:prstGeom>
        <a:noFill/>
        <a:ln w="9525" cmpd="sng">
          <a:noFill/>
        </a:ln>
      </xdr:spPr>
    </xdr:pic>
    <xdr:clientData fPrintsWithSheet="0"/>
  </xdr:twoCellAnchor>
  <xdr:twoCellAnchor editAs="oneCell">
    <xdr:from>
      <xdr:col>3</xdr:col>
      <xdr:colOff>0</xdr:colOff>
      <xdr:row>15</xdr:row>
      <xdr:rowOff>28575</xdr:rowOff>
    </xdr:from>
    <xdr:to>
      <xdr:col>5</xdr:col>
      <xdr:colOff>19050</xdr:colOff>
      <xdr:row>15</xdr:row>
      <xdr:rowOff>152400</xdr:rowOff>
    </xdr:to>
    <xdr:pic>
      <xdr:nvPicPr>
        <xdr:cNvPr id="3" name="CheckBox6"/>
        <xdr:cNvPicPr preferRelativeResize="1">
          <a:picLocks noChangeAspect="1"/>
        </xdr:cNvPicPr>
      </xdr:nvPicPr>
      <xdr:blipFill>
        <a:blip r:embed="rId2"/>
        <a:stretch>
          <a:fillRect/>
        </a:stretch>
      </xdr:blipFill>
      <xdr:spPr>
        <a:xfrm>
          <a:off x="3638550" y="2790825"/>
          <a:ext cx="152400" cy="123825"/>
        </a:xfrm>
        <a:prstGeom prst="rect">
          <a:avLst/>
        </a:prstGeom>
        <a:noFill/>
        <a:ln w="9525" cmpd="sng">
          <a:noFill/>
        </a:ln>
      </xdr:spPr>
    </xdr:pic>
    <xdr:clientData fPrintsWithSheet="0"/>
  </xdr:twoCellAnchor>
  <xdr:twoCellAnchor editAs="oneCell">
    <xdr:from>
      <xdr:col>3</xdr:col>
      <xdr:colOff>0</xdr:colOff>
      <xdr:row>17</xdr:row>
      <xdr:rowOff>9525</xdr:rowOff>
    </xdr:from>
    <xdr:to>
      <xdr:col>5</xdr:col>
      <xdr:colOff>38100</xdr:colOff>
      <xdr:row>18</xdr:row>
      <xdr:rowOff>9525</xdr:rowOff>
    </xdr:to>
    <xdr:pic>
      <xdr:nvPicPr>
        <xdr:cNvPr id="4" name="CheckBox4"/>
        <xdr:cNvPicPr preferRelativeResize="1">
          <a:picLocks noChangeAspect="1"/>
        </xdr:cNvPicPr>
      </xdr:nvPicPr>
      <xdr:blipFill>
        <a:blip r:embed="rId3"/>
        <a:stretch>
          <a:fillRect/>
        </a:stretch>
      </xdr:blipFill>
      <xdr:spPr>
        <a:xfrm>
          <a:off x="3638550" y="3076575"/>
          <a:ext cx="171450" cy="152400"/>
        </a:xfrm>
        <a:prstGeom prst="rect">
          <a:avLst/>
        </a:prstGeom>
        <a:noFill/>
        <a:ln w="9525" cmpd="sng">
          <a:noFill/>
        </a:ln>
      </xdr:spPr>
    </xdr:pic>
    <xdr:clientData fPrintsWithSheet="0"/>
  </xdr:twoCellAnchor>
  <xdr:twoCellAnchor editAs="oneCell">
    <xdr:from>
      <xdr:col>3</xdr:col>
      <xdr:colOff>0</xdr:colOff>
      <xdr:row>18</xdr:row>
      <xdr:rowOff>28575</xdr:rowOff>
    </xdr:from>
    <xdr:to>
      <xdr:col>5</xdr:col>
      <xdr:colOff>38100</xdr:colOff>
      <xdr:row>18</xdr:row>
      <xdr:rowOff>152400</xdr:rowOff>
    </xdr:to>
    <xdr:pic>
      <xdr:nvPicPr>
        <xdr:cNvPr id="5" name="CheckBox5"/>
        <xdr:cNvPicPr preferRelativeResize="1">
          <a:picLocks noChangeAspect="1"/>
        </xdr:cNvPicPr>
      </xdr:nvPicPr>
      <xdr:blipFill>
        <a:blip r:embed="rId4"/>
        <a:stretch>
          <a:fillRect/>
        </a:stretch>
      </xdr:blipFill>
      <xdr:spPr>
        <a:xfrm>
          <a:off x="3638550" y="3248025"/>
          <a:ext cx="171450" cy="123825"/>
        </a:xfrm>
        <a:prstGeom prst="rect">
          <a:avLst/>
        </a:prstGeom>
        <a:noFill/>
        <a:ln w="9525" cmpd="sng">
          <a:noFill/>
        </a:ln>
      </xdr:spPr>
    </xdr:pic>
    <xdr:clientData fPrintsWithSheet="0"/>
  </xdr:twoCellAnchor>
  <xdr:twoCellAnchor editAs="oneCell">
    <xdr:from>
      <xdr:col>3</xdr:col>
      <xdr:colOff>0</xdr:colOff>
      <xdr:row>19</xdr:row>
      <xdr:rowOff>9525</xdr:rowOff>
    </xdr:from>
    <xdr:to>
      <xdr:col>5</xdr:col>
      <xdr:colOff>0</xdr:colOff>
      <xdr:row>19</xdr:row>
      <xdr:rowOff>133350</xdr:rowOff>
    </xdr:to>
    <xdr:pic>
      <xdr:nvPicPr>
        <xdr:cNvPr id="6" name="CheckBox7"/>
        <xdr:cNvPicPr preferRelativeResize="1">
          <a:picLocks noChangeAspect="1"/>
        </xdr:cNvPicPr>
      </xdr:nvPicPr>
      <xdr:blipFill>
        <a:blip r:embed="rId5"/>
        <a:stretch>
          <a:fillRect/>
        </a:stretch>
      </xdr:blipFill>
      <xdr:spPr>
        <a:xfrm>
          <a:off x="3638550" y="3381375"/>
          <a:ext cx="133350" cy="123825"/>
        </a:xfrm>
        <a:prstGeom prst="rect">
          <a:avLst/>
        </a:prstGeom>
        <a:noFill/>
        <a:ln w="9525" cmpd="sng">
          <a:noFill/>
        </a:ln>
      </xdr:spPr>
    </xdr:pic>
    <xdr:clientData fPrintsWithSheet="0"/>
  </xdr:twoCellAnchor>
  <xdr:twoCellAnchor editAs="oneCell">
    <xdr:from>
      <xdr:col>3</xdr:col>
      <xdr:colOff>0</xdr:colOff>
      <xdr:row>20</xdr:row>
      <xdr:rowOff>28575</xdr:rowOff>
    </xdr:from>
    <xdr:to>
      <xdr:col>5</xdr:col>
      <xdr:colOff>19050</xdr:colOff>
      <xdr:row>20</xdr:row>
      <xdr:rowOff>142875</xdr:rowOff>
    </xdr:to>
    <xdr:pic>
      <xdr:nvPicPr>
        <xdr:cNvPr id="7" name="CheckBox8"/>
        <xdr:cNvPicPr preferRelativeResize="1">
          <a:picLocks noChangeAspect="1"/>
        </xdr:cNvPicPr>
      </xdr:nvPicPr>
      <xdr:blipFill>
        <a:blip r:embed="rId6"/>
        <a:stretch>
          <a:fillRect/>
        </a:stretch>
      </xdr:blipFill>
      <xdr:spPr>
        <a:xfrm>
          <a:off x="3638550" y="3552825"/>
          <a:ext cx="152400" cy="114300"/>
        </a:xfrm>
        <a:prstGeom prst="rect">
          <a:avLst/>
        </a:prstGeom>
        <a:noFill/>
        <a:ln w="9525" cmpd="sng">
          <a:noFill/>
        </a:ln>
      </xdr:spPr>
    </xdr:pic>
    <xdr:clientData fPrintsWithSheet="0"/>
  </xdr:twoCellAnchor>
  <xdr:twoCellAnchor editAs="oneCell">
    <xdr:from>
      <xdr:col>3</xdr:col>
      <xdr:colOff>0</xdr:colOff>
      <xdr:row>21</xdr:row>
      <xdr:rowOff>28575</xdr:rowOff>
    </xdr:from>
    <xdr:to>
      <xdr:col>5</xdr:col>
      <xdr:colOff>19050</xdr:colOff>
      <xdr:row>22</xdr:row>
      <xdr:rowOff>9525</xdr:rowOff>
    </xdr:to>
    <xdr:pic>
      <xdr:nvPicPr>
        <xdr:cNvPr id="8" name="CheckBox9"/>
        <xdr:cNvPicPr preferRelativeResize="1">
          <a:picLocks noChangeAspect="1"/>
        </xdr:cNvPicPr>
      </xdr:nvPicPr>
      <xdr:blipFill>
        <a:blip r:embed="rId2"/>
        <a:stretch>
          <a:fillRect/>
        </a:stretch>
      </xdr:blipFill>
      <xdr:spPr>
        <a:xfrm>
          <a:off x="3638550" y="3705225"/>
          <a:ext cx="152400" cy="133350"/>
        </a:xfrm>
        <a:prstGeom prst="rect">
          <a:avLst/>
        </a:prstGeom>
        <a:noFill/>
        <a:ln w="9525" cmpd="sng">
          <a:noFill/>
        </a:ln>
      </xdr:spPr>
    </xdr:pic>
    <xdr:clientData fPrintsWithSheet="0"/>
  </xdr:twoCellAnchor>
  <xdr:twoCellAnchor editAs="oneCell">
    <xdr:from>
      <xdr:col>3</xdr:col>
      <xdr:colOff>0</xdr:colOff>
      <xdr:row>22</xdr:row>
      <xdr:rowOff>47625</xdr:rowOff>
    </xdr:from>
    <xdr:to>
      <xdr:col>5</xdr:col>
      <xdr:colOff>9525</xdr:colOff>
      <xdr:row>23</xdr:row>
      <xdr:rowOff>9525</xdr:rowOff>
    </xdr:to>
    <xdr:pic>
      <xdr:nvPicPr>
        <xdr:cNvPr id="9" name="CheckBox10"/>
        <xdr:cNvPicPr preferRelativeResize="1">
          <a:picLocks noChangeAspect="1"/>
        </xdr:cNvPicPr>
      </xdr:nvPicPr>
      <xdr:blipFill>
        <a:blip r:embed="rId7"/>
        <a:stretch>
          <a:fillRect/>
        </a:stretch>
      </xdr:blipFill>
      <xdr:spPr>
        <a:xfrm>
          <a:off x="3638550" y="3876675"/>
          <a:ext cx="142875" cy="114300"/>
        </a:xfrm>
        <a:prstGeom prst="rect">
          <a:avLst/>
        </a:prstGeom>
        <a:noFill/>
        <a:ln w="9525" cmpd="sng">
          <a:noFill/>
        </a:ln>
      </xdr:spPr>
    </xdr:pic>
    <xdr:clientData fPrintsWithSheet="0"/>
  </xdr:twoCellAnchor>
  <xdr:twoCellAnchor editAs="oneCell">
    <xdr:from>
      <xdr:col>3</xdr:col>
      <xdr:colOff>0</xdr:colOff>
      <xdr:row>23</xdr:row>
      <xdr:rowOff>28575</xdr:rowOff>
    </xdr:from>
    <xdr:to>
      <xdr:col>5</xdr:col>
      <xdr:colOff>19050</xdr:colOff>
      <xdr:row>23</xdr:row>
      <xdr:rowOff>152400</xdr:rowOff>
    </xdr:to>
    <xdr:pic>
      <xdr:nvPicPr>
        <xdr:cNvPr id="10" name="CheckBox11"/>
        <xdr:cNvPicPr preferRelativeResize="1">
          <a:picLocks noChangeAspect="1"/>
        </xdr:cNvPicPr>
      </xdr:nvPicPr>
      <xdr:blipFill>
        <a:blip r:embed="rId6"/>
        <a:stretch>
          <a:fillRect/>
        </a:stretch>
      </xdr:blipFill>
      <xdr:spPr>
        <a:xfrm>
          <a:off x="3638550" y="4010025"/>
          <a:ext cx="152400" cy="123825"/>
        </a:xfrm>
        <a:prstGeom prst="rect">
          <a:avLst/>
        </a:prstGeom>
        <a:noFill/>
        <a:ln w="9525" cmpd="sng">
          <a:noFill/>
        </a:ln>
      </xdr:spPr>
    </xdr:pic>
    <xdr:clientData fPrintsWithSheet="0"/>
  </xdr:twoCellAnchor>
  <xdr:twoCellAnchor editAs="oneCell">
    <xdr:from>
      <xdr:col>3</xdr:col>
      <xdr:colOff>0</xdr:colOff>
      <xdr:row>50</xdr:row>
      <xdr:rowOff>142875</xdr:rowOff>
    </xdr:from>
    <xdr:to>
      <xdr:col>5</xdr:col>
      <xdr:colOff>9525</xdr:colOff>
      <xdr:row>51</xdr:row>
      <xdr:rowOff>142875</xdr:rowOff>
    </xdr:to>
    <xdr:pic>
      <xdr:nvPicPr>
        <xdr:cNvPr id="11" name="CheckBox22"/>
        <xdr:cNvPicPr preferRelativeResize="1">
          <a:picLocks noChangeAspect="1"/>
        </xdr:cNvPicPr>
      </xdr:nvPicPr>
      <xdr:blipFill>
        <a:blip r:embed="rId8"/>
        <a:stretch>
          <a:fillRect/>
        </a:stretch>
      </xdr:blipFill>
      <xdr:spPr>
        <a:xfrm>
          <a:off x="3638550" y="8391525"/>
          <a:ext cx="142875" cy="161925"/>
        </a:xfrm>
        <a:prstGeom prst="rect">
          <a:avLst/>
        </a:prstGeom>
        <a:noFill/>
        <a:ln w="9525" cmpd="sng">
          <a:noFill/>
        </a:ln>
      </xdr:spPr>
    </xdr:pic>
    <xdr:clientData fPrintsWithSheet="0"/>
  </xdr:twoCellAnchor>
  <xdr:twoCellAnchor editAs="oneCell">
    <xdr:from>
      <xdr:col>3</xdr:col>
      <xdr:colOff>0</xdr:colOff>
      <xdr:row>52</xdr:row>
      <xdr:rowOff>9525</xdr:rowOff>
    </xdr:from>
    <xdr:to>
      <xdr:col>5</xdr:col>
      <xdr:colOff>38100</xdr:colOff>
      <xdr:row>52</xdr:row>
      <xdr:rowOff>171450</xdr:rowOff>
    </xdr:to>
    <xdr:pic>
      <xdr:nvPicPr>
        <xdr:cNvPr id="12" name="CheckBox23"/>
        <xdr:cNvPicPr preferRelativeResize="1">
          <a:picLocks noChangeAspect="1"/>
        </xdr:cNvPicPr>
      </xdr:nvPicPr>
      <xdr:blipFill>
        <a:blip r:embed="rId9"/>
        <a:stretch>
          <a:fillRect/>
        </a:stretch>
      </xdr:blipFill>
      <xdr:spPr>
        <a:xfrm>
          <a:off x="3638550" y="8572500"/>
          <a:ext cx="171450" cy="161925"/>
        </a:xfrm>
        <a:prstGeom prst="rect">
          <a:avLst/>
        </a:prstGeom>
        <a:noFill/>
        <a:ln w="9525" cmpd="sng">
          <a:noFill/>
        </a:ln>
      </xdr:spPr>
    </xdr:pic>
    <xdr:clientData fPrintsWithSheet="0"/>
  </xdr:twoCellAnchor>
  <xdr:twoCellAnchor editAs="oneCell">
    <xdr:from>
      <xdr:col>8</xdr:col>
      <xdr:colOff>47625</xdr:colOff>
      <xdr:row>13</xdr:row>
      <xdr:rowOff>28575</xdr:rowOff>
    </xdr:from>
    <xdr:to>
      <xdr:col>8</xdr:col>
      <xdr:colOff>200025</xdr:colOff>
      <xdr:row>13</xdr:row>
      <xdr:rowOff>152400</xdr:rowOff>
    </xdr:to>
    <xdr:pic>
      <xdr:nvPicPr>
        <xdr:cNvPr id="13" name="CheckBox28"/>
        <xdr:cNvPicPr preferRelativeResize="1">
          <a:picLocks noChangeAspect="1"/>
        </xdr:cNvPicPr>
      </xdr:nvPicPr>
      <xdr:blipFill>
        <a:blip r:embed="rId6"/>
        <a:stretch>
          <a:fillRect/>
        </a:stretch>
      </xdr:blipFill>
      <xdr:spPr>
        <a:xfrm>
          <a:off x="7315200" y="2486025"/>
          <a:ext cx="152400" cy="123825"/>
        </a:xfrm>
        <a:prstGeom prst="rect">
          <a:avLst/>
        </a:prstGeom>
        <a:noFill/>
        <a:ln w="9525" cmpd="sng">
          <a:noFill/>
        </a:ln>
      </xdr:spPr>
    </xdr:pic>
    <xdr:clientData fPrintsWithSheet="0"/>
  </xdr:twoCellAnchor>
  <xdr:twoCellAnchor editAs="oneCell">
    <xdr:from>
      <xdr:col>8</xdr:col>
      <xdr:colOff>47625</xdr:colOff>
      <xdr:row>17</xdr:row>
      <xdr:rowOff>0</xdr:rowOff>
    </xdr:from>
    <xdr:to>
      <xdr:col>8</xdr:col>
      <xdr:colOff>247650</xdr:colOff>
      <xdr:row>17</xdr:row>
      <xdr:rowOff>142875</xdr:rowOff>
    </xdr:to>
    <xdr:pic>
      <xdr:nvPicPr>
        <xdr:cNvPr id="14" name="CheckBox29"/>
        <xdr:cNvPicPr preferRelativeResize="1">
          <a:picLocks noChangeAspect="1"/>
        </xdr:cNvPicPr>
      </xdr:nvPicPr>
      <xdr:blipFill>
        <a:blip r:embed="rId10"/>
        <a:stretch>
          <a:fillRect/>
        </a:stretch>
      </xdr:blipFill>
      <xdr:spPr>
        <a:xfrm>
          <a:off x="7315200" y="3067050"/>
          <a:ext cx="200025" cy="142875"/>
        </a:xfrm>
        <a:prstGeom prst="rect">
          <a:avLst/>
        </a:prstGeom>
        <a:noFill/>
        <a:ln w="9525" cmpd="sng">
          <a:noFill/>
        </a:ln>
      </xdr:spPr>
    </xdr:pic>
    <xdr:clientData fPrintsWithSheet="0"/>
  </xdr:twoCellAnchor>
  <xdr:twoCellAnchor editAs="oneCell">
    <xdr:from>
      <xdr:col>8</xdr:col>
      <xdr:colOff>47625</xdr:colOff>
      <xdr:row>40</xdr:row>
      <xdr:rowOff>0</xdr:rowOff>
    </xdr:from>
    <xdr:to>
      <xdr:col>8</xdr:col>
      <xdr:colOff>180975</xdr:colOff>
      <xdr:row>40</xdr:row>
      <xdr:rowOff>142875</xdr:rowOff>
    </xdr:to>
    <xdr:pic>
      <xdr:nvPicPr>
        <xdr:cNvPr id="15" name="CheckBox32"/>
        <xdr:cNvPicPr preferRelativeResize="1">
          <a:picLocks noChangeAspect="1"/>
        </xdr:cNvPicPr>
      </xdr:nvPicPr>
      <xdr:blipFill>
        <a:blip r:embed="rId1"/>
        <a:stretch>
          <a:fillRect/>
        </a:stretch>
      </xdr:blipFill>
      <xdr:spPr>
        <a:xfrm>
          <a:off x="7315200" y="6572250"/>
          <a:ext cx="133350" cy="142875"/>
        </a:xfrm>
        <a:prstGeom prst="rect">
          <a:avLst/>
        </a:prstGeom>
        <a:noFill/>
        <a:ln w="9525" cmpd="sng">
          <a:noFill/>
        </a:ln>
      </xdr:spPr>
    </xdr:pic>
    <xdr:clientData fPrintsWithSheet="0"/>
  </xdr:twoCellAnchor>
  <xdr:twoCellAnchor editAs="oneCell">
    <xdr:from>
      <xdr:col>8</xdr:col>
      <xdr:colOff>57150</xdr:colOff>
      <xdr:row>30</xdr:row>
      <xdr:rowOff>28575</xdr:rowOff>
    </xdr:from>
    <xdr:to>
      <xdr:col>8</xdr:col>
      <xdr:colOff>200025</xdr:colOff>
      <xdr:row>30</xdr:row>
      <xdr:rowOff>142875</xdr:rowOff>
    </xdr:to>
    <xdr:pic>
      <xdr:nvPicPr>
        <xdr:cNvPr id="16" name="CheckBox34"/>
        <xdr:cNvPicPr preferRelativeResize="1">
          <a:picLocks noChangeAspect="1"/>
        </xdr:cNvPicPr>
      </xdr:nvPicPr>
      <xdr:blipFill>
        <a:blip r:embed="rId7"/>
        <a:stretch>
          <a:fillRect/>
        </a:stretch>
      </xdr:blipFill>
      <xdr:spPr>
        <a:xfrm>
          <a:off x="7324725" y="5076825"/>
          <a:ext cx="142875" cy="114300"/>
        </a:xfrm>
        <a:prstGeom prst="rect">
          <a:avLst/>
        </a:prstGeom>
        <a:noFill/>
        <a:ln w="9525" cmpd="sng">
          <a:noFill/>
        </a:ln>
      </xdr:spPr>
    </xdr:pic>
    <xdr:clientData fPrintsWithSheet="0"/>
  </xdr:twoCellAnchor>
  <xdr:twoCellAnchor editAs="oneCell">
    <xdr:from>
      <xdr:col>8</xdr:col>
      <xdr:colOff>47625</xdr:colOff>
      <xdr:row>28</xdr:row>
      <xdr:rowOff>9525</xdr:rowOff>
    </xdr:from>
    <xdr:to>
      <xdr:col>8</xdr:col>
      <xdr:colOff>171450</xdr:colOff>
      <xdr:row>28</xdr:row>
      <xdr:rowOff>123825</xdr:rowOff>
    </xdr:to>
    <xdr:pic>
      <xdr:nvPicPr>
        <xdr:cNvPr id="17" name="CheckBox36"/>
        <xdr:cNvPicPr preferRelativeResize="1">
          <a:picLocks noChangeAspect="1"/>
        </xdr:cNvPicPr>
      </xdr:nvPicPr>
      <xdr:blipFill>
        <a:blip r:embed="rId11"/>
        <a:stretch>
          <a:fillRect/>
        </a:stretch>
      </xdr:blipFill>
      <xdr:spPr>
        <a:xfrm>
          <a:off x="7315200" y="4752975"/>
          <a:ext cx="123825" cy="114300"/>
        </a:xfrm>
        <a:prstGeom prst="rect">
          <a:avLst/>
        </a:prstGeom>
        <a:noFill/>
        <a:ln w="9525" cmpd="sng">
          <a:noFill/>
        </a:ln>
      </xdr:spPr>
    </xdr:pic>
    <xdr:clientData fPrintsWithSheet="0"/>
  </xdr:twoCellAnchor>
  <xdr:twoCellAnchor editAs="oneCell">
    <xdr:from>
      <xdr:col>8</xdr:col>
      <xdr:colOff>57150</xdr:colOff>
      <xdr:row>29</xdr:row>
      <xdr:rowOff>28575</xdr:rowOff>
    </xdr:from>
    <xdr:to>
      <xdr:col>8</xdr:col>
      <xdr:colOff>190500</xdr:colOff>
      <xdr:row>29</xdr:row>
      <xdr:rowOff>142875</xdr:rowOff>
    </xdr:to>
    <xdr:pic>
      <xdr:nvPicPr>
        <xdr:cNvPr id="18" name="CheckBox37"/>
        <xdr:cNvPicPr preferRelativeResize="1">
          <a:picLocks noChangeAspect="1"/>
        </xdr:cNvPicPr>
      </xdr:nvPicPr>
      <xdr:blipFill>
        <a:blip r:embed="rId12"/>
        <a:stretch>
          <a:fillRect/>
        </a:stretch>
      </xdr:blipFill>
      <xdr:spPr>
        <a:xfrm>
          <a:off x="7324725" y="4924425"/>
          <a:ext cx="133350" cy="114300"/>
        </a:xfrm>
        <a:prstGeom prst="rect">
          <a:avLst/>
        </a:prstGeom>
        <a:noFill/>
        <a:ln w="9525" cmpd="sng">
          <a:noFill/>
        </a:ln>
      </xdr:spPr>
    </xdr:pic>
    <xdr:clientData fPrintsWithSheet="0"/>
  </xdr:twoCellAnchor>
  <xdr:twoCellAnchor editAs="oneCell">
    <xdr:from>
      <xdr:col>8</xdr:col>
      <xdr:colOff>19050</xdr:colOff>
      <xdr:row>54</xdr:row>
      <xdr:rowOff>9525</xdr:rowOff>
    </xdr:from>
    <xdr:to>
      <xdr:col>8</xdr:col>
      <xdr:colOff>152400</xdr:colOff>
      <xdr:row>54</xdr:row>
      <xdr:rowOff>133350</xdr:rowOff>
    </xdr:to>
    <xdr:pic>
      <xdr:nvPicPr>
        <xdr:cNvPr id="19" name="CheckBox38"/>
        <xdr:cNvPicPr preferRelativeResize="1">
          <a:picLocks noChangeAspect="1"/>
        </xdr:cNvPicPr>
      </xdr:nvPicPr>
      <xdr:blipFill>
        <a:blip r:embed="rId13"/>
        <a:stretch>
          <a:fillRect/>
        </a:stretch>
      </xdr:blipFill>
      <xdr:spPr>
        <a:xfrm>
          <a:off x="7286625" y="8886825"/>
          <a:ext cx="133350" cy="123825"/>
        </a:xfrm>
        <a:prstGeom prst="rect">
          <a:avLst/>
        </a:prstGeom>
        <a:noFill/>
        <a:ln w="9525" cmpd="sng">
          <a:noFill/>
        </a:ln>
      </xdr:spPr>
    </xdr:pic>
    <xdr:clientData fPrintsWithSheet="0"/>
  </xdr:twoCellAnchor>
  <xdr:twoCellAnchor editAs="oneCell">
    <xdr:from>
      <xdr:col>5</xdr:col>
      <xdr:colOff>161925</xdr:colOff>
      <xdr:row>10</xdr:row>
      <xdr:rowOff>38100</xdr:rowOff>
    </xdr:from>
    <xdr:to>
      <xdr:col>6</xdr:col>
      <xdr:colOff>476250</xdr:colOff>
      <xdr:row>10</xdr:row>
      <xdr:rowOff>295275</xdr:rowOff>
    </xdr:to>
    <xdr:pic>
      <xdr:nvPicPr>
        <xdr:cNvPr id="20" name="CommandButton1"/>
        <xdr:cNvPicPr preferRelativeResize="1">
          <a:picLocks noChangeAspect="1"/>
        </xdr:cNvPicPr>
      </xdr:nvPicPr>
      <xdr:blipFill>
        <a:blip r:embed="rId14"/>
        <a:stretch>
          <a:fillRect/>
        </a:stretch>
      </xdr:blipFill>
      <xdr:spPr>
        <a:xfrm>
          <a:off x="3933825" y="1876425"/>
          <a:ext cx="2466975" cy="257175"/>
        </a:xfrm>
        <a:prstGeom prst="rect">
          <a:avLst/>
        </a:prstGeom>
        <a:noFill/>
        <a:ln w="9525" cmpd="sng">
          <a:noFill/>
        </a:ln>
      </xdr:spPr>
    </xdr:pic>
    <xdr:clientData fPrintsWithSheet="0"/>
  </xdr:twoCellAnchor>
  <xdr:twoCellAnchor editAs="oneCell">
    <xdr:from>
      <xdr:col>2</xdr:col>
      <xdr:colOff>838200</xdr:colOff>
      <xdr:row>34</xdr:row>
      <xdr:rowOff>28575</xdr:rowOff>
    </xdr:from>
    <xdr:to>
      <xdr:col>5</xdr:col>
      <xdr:colOff>0</xdr:colOff>
      <xdr:row>34</xdr:row>
      <xdr:rowOff>142875</xdr:rowOff>
    </xdr:to>
    <xdr:pic>
      <xdr:nvPicPr>
        <xdr:cNvPr id="21" name="CheckBox41"/>
        <xdr:cNvPicPr preferRelativeResize="1">
          <a:picLocks noChangeAspect="1"/>
        </xdr:cNvPicPr>
      </xdr:nvPicPr>
      <xdr:blipFill>
        <a:blip r:embed="rId7"/>
        <a:stretch>
          <a:fillRect/>
        </a:stretch>
      </xdr:blipFill>
      <xdr:spPr>
        <a:xfrm>
          <a:off x="3629025" y="5686425"/>
          <a:ext cx="142875" cy="114300"/>
        </a:xfrm>
        <a:prstGeom prst="rect">
          <a:avLst/>
        </a:prstGeom>
        <a:noFill/>
        <a:ln w="9525" cmpd="sng">
          <a:noFill/>
        </a:ln>
      </xdr:spPr>
    </xdr:pic>
    <xdr:clientData fPrintsWithSheet="0"/>
  </xdr:twoCellAnchor>
  <xdr:twoCellAnchor editAs="oneCell">
    <xdr:from>
      <xdr:col>0</xdr:col>
      <xdr:colOff>2276475</xdr:colOff>
      <xdr:row>10</xdr:row>
      <xdr:rowOff>295275</xdr:rowOff>
    </xdr:from>
    <xdr:to>
      <xdr:col>1</xdr:col>
      <xdr:colOff>466725</xdr:colOff>
      <xdr:row>12</xdr:row>
      <xdr:rowOff>0</xdr:rowOff>
    </xdr:to>
    <xdr:pic>
      <xdr:nvPicPr>
        <xdr:cNvPr id="22" name="ComboBox1"/>
        <xdr:cNvPicPr preferRelativeResize="1">
          <a:picLocks noChangeAspect="1"/>
        </xdr:cNvPicPr>
      </xdr:nvPicPr>
      <xdr:blipFill>
        <a:blip r:embed="rId15"/>
        <a:stretch>
          <a:fillRect/>
        </a:stretch>
      </xdr:blipFill>
      <xdr:spPr>
        <a:xfrm>
          <a:off x="2276475" y="2133600"/>
          <a:ext cx="485775" cy="171450"/>
        </a:xfrm>
        <a:prstGeom prst="rect">
          <a:avLst/>
        </a:prstGeom>
        <a:noFill/>
        <a:ln w="9525" cmpd="sng">
          <a:noFill/>
        </a:ln>
      </xdr:spPr>
    </xdr:pic>
    <xdr:clientData fPrintsWithSheet="0"/>
  </xdr:twoCellAnchor>
  <xdr:twoCellAnchor editAs="oneCell">
    <xdr:from>
      <xdr:col>3</xdr:col>
      <xdr:colOff>28575</xdr:colOff>
      <xdr:row>36</xdr:row>
      <xdr:rowOff>28575</xdr:rowOff>
    </xdr:from>
    <xdr:to>
      <xdr:col>5</xdr:col>
      <xdr:colOff>28575</xdr:colOff>
      <xdr:row>36</xdr:row>
      <xdr:rowOff>142875</xdr:rowOff>
    </xdr:to>
    <xdr:pic>
      <xdr:nvPicPr>
        <xdr:cNvPr id="23" name="CheckBox42"/>
        <xdr:cNvPicPr preferRelativeResize="1">
          <a:picLocks noChangeAspect="1"/>
        </xdr:cNvPicPr>
      </xdr:nvPicPr>
      <xdr:blipFill>
        <a:blip r:embed="rId6"/>
        <a:stretch>
          <a:fillRect/>
        </a:stretch>
      </xdr:blipFill>
      <xdr:spPr>
        <a:xfrm>
          <a:off x="3667125" y="5991225"/>
          <a:ext cx="142875" cy="114300"/>
        </a:xfrm>
        <a:prstGeom prst="rect">
          <a:avLst/>
        </a:prstGeom>
        <a:noFill/>
        <a:ln w="9525" cmpd="sng">
          <a:noFill/>
        </a:ln>
      </xdr:spPr>
    </xdr:pic>
    <xdr:clientData fPrintsWithSheet="0"/>
  </xdr:twoCellAnchor>
  <xdr:twoCellAnchor editAs="oneCell">
    <xdr:from>
      <xdr:col>3</xdr:col>
      <xdr:colOff>9525</xdr:colOff>
      <xdr:row>38</xdr:row>
      <xdr:rowOff>9525</xdr:rowOff>
    </xdr:from>
    <xdr:to>
      <xdr:col>5</xdr:col>
      <xdr:colOff>38100</xdr:colOff>
      <xdr:row>38</xdr:row>
      <xdr:rowOff>133350</xdr:rowOff>
    </xdr:to>
    <xdr:pic>
      <xdr:nvPicPr>
        <xdr:cNvPr id="24" name="CheckBox43"/>
        <xdr:cNvPicPr preferRelativeResize="1">
          <a:picLocks noChangeAspect="1"/>
        </xdr:cNvPicPr>
      </xdr:nvPicPr>
      <xdr:blipFill>
        <a:blip r:embed="rId6"/>
        <a:stretch>
          <a:fillRect/>
        </a:stretch>
      </xdr:blipFill>
      <xdr:spPr>
        <a:xfrm>
          <a:off x="3648075" y="6276975"/>
          <a:ext cx="161925" cy="123825"/>
        </a:xfrm>
        <a:prstGeom prst="rect">
          <a:avLst/>
        </a:prstGeom>
        <a:noFill/>
        <a:ln w="9525" cmpd="sng">
          <a:noFill/>
        </a:ln>
      </xdr:spPr>
    </xdr:pic>
    <xdr:clientData fPrintsWithSheet="0"/>
  </xdr:twoCellAnchor>
  <xdr:twoCellAnchor editAs="oneCell">
    <xdr:from>
      <xdr:col>8</xdr:col>
      <xdr:colOff>28575</xdr:colOff>
      <xdr:row>15</xdr:row>
      <xdr:rowOff>28575</xdr:rowOff>
    </xdr:from>
    <xdr:to>
      <xdr:col>8</xdr:col>
      <xdr:colOff>180975</xdr:colOff>
      <xdr:row>15</xdr:row>
      <xdr:rowOff>152400</xdr:rowOff>
    </xdr:to>
    <xdr:pic>
      <xdr:nvPicPr>
        <xdr:cNvPr id="25" name="CheckBox44"/>
        <xdr:cNvPicPr preferRelativeResize="1">
          <a:picLocks noChangeAspect="1"/>
        </xdr:cNvPicPr>
      </xdr:nvPicPr>
      <xdr:blipFill>
        <a:blip r:embed="rId6"/>
        <a:stretch>
          <a:fillRect/>
        </a:stretch>
      </xdr:blipFill>
      <xdr:spPr>
        <a:xfrm>
          <a:off x="7296150" y="2790825"/>
          <a:ext cx="152400" cy="123825"/>
        </a:xfrm>
        <a:prstGeom prst="rect">
          <a:avLst/>
        </a:prstGeom>
        <a:noFill/>
        <a:ln w="9525" cmpd="sng">
          <a:noFill/>
        </a:ln>
      </xdr:spPr>
    </xdr:pic>
    <xdr:clientData fPrintsWithSheet="0"/>
  </xdr:twoCellAnchor>
  <xdr:twoCellAnchor editAs="oneCell">
    <xdr:from>
      <xdr:col>8</xdr:col>
      <xdr:colOff>57150</xdr:colOff>
      <xdr:row>24</xdr:row>
      <xdr:rowOff>0</xdr:rowOff>
    </xdr:from>
    <xdr:to>
      <xdr:col>8</xdr:col>
      <xdr:colOff>257175</xdr:colOff>
      <xdr:row>24</xdr:row>
      <xdr:rowOff>142875</xdr:rowOff>
    </xdr:to>
    <xdr:pic>
      <xdr:nvPicPr>
        <xdr:cNvPr id="26" name="CheckBox2"/>
        <xdr:cNvPicPr preferRelativeResize="1">
          <a:picLocks noChangeAspect="1"/>
        </xdr:cNvPicPr>
      </xdr:nvPicPr>
      <xdr:blipFill>
        <a:blip r:embed="rId10"/>
        <a:stretch>
          <a:fillRect/>
        </a:stretch>
      </xdr:blipFill>
      <xdr:spPr>
        <a:xfrm>
          <a:off x="7324725" y="4133850"/>
          <a:ext cx="200025" cy="142875"/>
        </a:xfrm>
        <a:prstGeom prst="rect">
          <a:avLst/>
        </a:prstGeom>
        <a:noFill/>
        <a:ln w="9525" cmpd="sng">
          <a:noFill/>
        </a:ln>
      </xdr:spPr>
    </xdr:pic>
    <xdr:clientData fPrintsWithSheet="0"/>
  </xdr:twoCellAnchor>
  <xdr:twoCellAnchor editAs="oneCell">
    <xdr:from>
      <xdr:col>8</xdr:col>
      <xdr:colOff>47625</xdr:colOff>
      <xdr:row>20</xdr:row>
      <xdr:rowOff>28575</xdr:rowOff>
    </xdr:from>
    <xdr:to>
      <xdr:col>8</xdr:col>
      <xdr:colOff>247650</xdr:colOff>
      <xdr:row>21</xdr:row>
      <xdr:rowOff>9525</xdr:rowOff>
    </xdr:to>
    <xdr:pic>
      <xdr:nvPicPr>
        <xdr:cNvPr id="27" name="CheckBox12"/>
        <xdr:cNvPicPr preferRelativeResize="1">
          <a:picLocks noChangeAspect="1"/>
        </xdr:cNvPicPr>
      </xdr:nvPicPr>
      <xdr:blipFill>
        <a:blip r:embed="rId10"/>
        <a:stretch>
          <a:fillRect/>
        </a:stretch>
      </xdr:blipFill>
      <xdr:spPr>
        <a:xfrm>
          <a:off x="7315200" y="3552825"/>
          <a:ext cx="200025" cy="133350"/>
        </a:xfrm>
        <a:prstGeom prst="rect">
          <a:avLst/>
        </a:prstGeom>
        <a:noFill/>
        <a:ln w="9525" cmpd="sng">
          <a:noFill/>
        </a:ln>
      </xdr:spPr>
    </xdr:pic>
    <xdr:clientData fPrintsWithSheet="0"/>
  </xdr:twoCellAnchor>
  <xdr:twoCellAnchor editAs="oneCell">
    <xdr:from>
      <xdr:col>7</xdr:col>
      <xdr:colOff>114300</xdr:colOff>
      <xdr:row>43</xdr:row>
      <xdr:rowOff>76200</xdr:rowOff>
    </xdr:from>
    <xdr:to>
      <xdr:col>14</xdr:col>
      <xdr:colOff>171450</xdr:colOff>
      <xdr:row>45</xdr:row>
      <xdr:rowOff>28575</xdr:rowOff>
    </xdr:to>
    <xdr:pic>
      <xdr:nvPicPr>
        <xdr:cNvPr id="28" name="CommandButton2"/>
        <xdr:cNvPicPr preferRelativeResize="1">
          <a:picLocks noChangeAspect="1"/>
        </xdr:cNvPicPr>
      </xdr:nvPicPr>
      <xdr:blipFill>
        <a:blip r:embed="rId16"/>
        <a:stretch>
          <a:fillRect/>
        </a:stretch>
      </xdr:blipFill>
      <xdr:spPr>
        <a:xfrm>
          <a:off x="6534150" y="7239000"/>
          <a:ext cx="2476500" cy="257175"/>
        </a:xfrm>
        <a:prstGeom prst="rect">
          <a:avLst/>
        </a:prstGeom>
        <a:noFill/>
        <a:ln w="9525" cmpd="sng">
          <a:noFill/>
        </a:ln>
      </xdr:spPr>
    </xdr:pic>
    <xdr:clientData fPrintsWithSheet="0"/>
  </xdr:twoCellAnchor>
  <xdr:twoCellAnchor editAs="oneCell">
    <xdr:from>
      <xdr:col>8</xdr:col>
      <xdr:colOff>28575</xdr:colOff>
      <xdr:row>50</xdr:row>
      <xdr:rowOff>28575</xdr:rowOff>
    </xdr:from>
    <xdr:to>
      <xdr:col>8</xdr:col>
      <xdr:colOff>161925</xdr:colOff>
      <xdr:row>50</xdr:row>
      <xdr:rowOff>152400</xdr:rowOff>
    </xdr:to>
    <xdr:pic>
      <xdr:nvPicPr>
        <xdr:cNvPr id="29" name="CheckBox13"/>
        <xdr:cNvPicPr preferRelativeResize="1">
          <a:picLocks noChangeAspect="1"/>
        </xdr:cNvPicPr>
      </xdr:nvPicPr>
      <xdr:blipFill>
        <a:blip r:embed="rId13"/>
        <a:stretch>
          <a:fillRect/>
        </a:stretch>
      </xdr:blipFill>
      <xdr:spPr>
        <a:xfrm>
          <a:off x="7296150" y="8277225"/>
          <a:ext cx="133350" cy="123825"/>
        </a:xfrm>
        <a:prstGeom prst="rect">
          <a:avLst/>
        </a:prstGeom>
        <a:noFill/>
        <a:ln w="9525" cmpd="sng">
          <a:noFill/>
        </a:ln>
      </xdr:spPr>
    </xdr:pic>
    <xdr:clientData fPrintsWithSheet="0"/>
  </xdr:twoCellAnchor>
  <xdr:twoCellAnchor editAs="oneCell">
    <xdr:from>
      <xdr:col>8</xdr:col>
      <xdr:colOff>28575</xdr:colOff>
      <xdr:row>48</xdr:row>
      <xdr:rowOff>28575</xdr:rowOff>
    </xdr:from>
    <xdr:to>
      <xdr:col>8</xdr:col>
      <xdr:colOff>161925</xdr:colOff>
      <xdr:row>48</xdr:row>
      <xdr:rowOff>152400</xdr:rowOff>
    </xdr:to>
    <xdr:pic>
      <xdr:nvPicPr>
        <xdr:cNvPr id="30" name="CheckBox14"/>
        <xdr:cNvPicPr preferRelativeResize="1">
          <a:picLocks noChangeAspect="1"/>
        </xdr:cNvPicPr>
      </xdr:nvPicPr>
      <xdr:blipFill>
        <a:blip r:embed="rId13"/>
        <a:stretch>
          <a:fillRect/>
        </a:stretch>
      </xdr:blipFill>
      <xdr:spPr>
        <a:xfrm>
          <a:off x="7296150" y="7953375"/>
          <a:ext cx="133350" cy="123825"/>
        </a:xfrm>
        <a:prstGeom prst="rect">
          <a:avLst/>
        </a:prstGeom>
        <a:noFill/>
        <a:ln w="9525" cmpd="sng">
          <a:noFill/>
        </a:ln>
      </xdr:spPr>
    </xdr:pic>
    <xdr:clientData fPrintsWithSheet="0"/>
  </xdr:twoCellAnchor>
  <xdr:twoCellAnchor editAs="oneCell">
    <xdr:from>
      <xdr:col>8</xdr:col>
      <xdr:colOff>57150</xdr:colOff>
      <xdr:row>31</xdr:row>
      <xdr:rowOff>28575</xdr:rowOff>
    </xdr:from>
    <xdr:to>
      <xdr:col>8</xdr:col>
      <xdr:colOff>200025</xdr:colOff>
      <xdr:row>31</xdr:row>
      <xdr:rowOff>142875</xdr:rowOff>
    </xdr:to>
    <xdr:pic>
      <xdr:nvPicPr>
        <xdr:cNvPr id="31" name="CheckBox15"/>
        <xdr:cNvPicPr preferRelativeResize="1">
          <a:picLocks noChangeAspect="1"/>
        </xdr:cNvPicPr>
      </xdr:nvPicPr>
      <xdr:blipFill>
        <a:blip r:embed="rId7"/>
        <a:stretch>
          <a:fillRect/>
        </a:stretch>
      </xdr:blipFill>
      <xdr:spPr>
        <a:xfrm>
          <a:off x="7324725" y="5229225"/>
          <a:ext cx="142875" cy="114300"/>
        </a:xfrm>
        <a:prstGeom prst="rect">
          <a:avLst/>
        </a:prstGeom>
        <a:noFill/>
        <a:ln w="9525" cmpd="sng">
          <a:noFill/>
        </a:ln>
      </xdr:spPr>
    </xdr:pic>
    <xdr:clientData fPrintsWithSheet="0"/>
  </xdr:twoCellAnchor>
  <xdr:twoCellAnchor editAs="oneCell">
    <xdr:from>
      <xdr:col>8</xdr:col>
      <xdr:colOff>57150</xdr:colOff>
      <xdr:row>32</xdr:row>
      <xdr:rowOff>28575</xdr:rowOff>
    </xdr:from>
    <xdr:to>
      <xdr:col>8</xdr:col>
      <xdr:colOff>200025</xdr:colOff>
      <xdr:row>32</xdr:row>
      <xdr:rowOff>142875</xdr:rowOff>
    </xdr:to>
    <xdr:pic>
      <xdr:nvPicPr>
        <xdr:cNvPr id="32" name="CheckBox16"/>
        <xdr:cNvPicPr preferRelativeResize="1">
          <a:picLocks noChangeAspect="1"/>
        </xdr:cNvPicPr>
      </xdr:nvPicPr>
      <xdr:blipFill>
        <a:blip r:embed="rId7"/>
        <a:stretch>
          <a:fillRect/>
        </a:stretch>
      </xdr:blipFill>
      <xdr:spPr>
        <a:xfrm>
          <a:off x="7324725" y="5381625"/>
          <a:ext cx="142875" cy="114300"/>
        </a:xfrm>
        <a:prstGeom prst="rect">
          <a:avLst/>
        </a:prstGeom>
        <a:noFill/>
        <a:ln w="9525" cmpd="sng">
          <a:noFill/>
        </a:ln>
      </xdr:spPr>
    </xdr:pic>
    <xdr:clientData fPrintsWithSheet="0"/>
  </xdr:twoCellAnchor>
  <xdr:twoCellAnchor editAs="oneCell">
    <xdr:from>
      <xdr:col>3</xdr:col>
      <xdr:colOff>0</xdr:colOff>
      <xdr:row>31</xdr:row>
      <xdr:rowOff>28575</xdr:rowOff>
    </xdr:from>
    <xdr:to>
      <xdr:col>5</xdr:col>
      <xdr:colOff>9525</xdr:colOff>
      <xdr:row>31</xdr:row>
      <xdr:rowOff>142875</xdr:rowOff>
    </xdr:to>
    <xdr:pic>
      <xdr:nvPicPr>
        <xdr:cNvPr id="33" name="CheckBox17"/>
        <xdr:cNvPicPr preferRelativeResize="1">
          <a:picLocks noChangeAspect="1"/>
        </xdr:cNvPicPr>
      </xdr:nvPicPr>
      <xdr:blipFill>
        <a:blip r:embed="rId7"/>
        <a:stretch>
          <a:fillRect/>
        </a:stretch>
      </xdr:blipFill>
      <xdr:spPr>
        <a:xfrm>
          <a:off x="3638550" y="5229225"/>
          <a:ext cx="142875" cy="114300"/>
        </a:xfrm>
        <a:prstGeom prst="rect">
          <a:avLst/>
        </a:prstGeom>
        <a:noFill/>
        <a:ln w="9525" cmpd="sng">
          <a:noFill/>
        </a:ln>
      </xdr:spPr>
    </xdr:pic>
    <xdr:clientData fPrintsWithSheet="0"/>
  </xdr:twoCellAnchor>
  <xdr:twoCellAnchor editAs="oneCell">
    <xdr:from>
      <xdr:col>12</xdr:col>
      <xdr:colOff>28575</xdr:colOff>
      <xdr:row>41</xdr:row>
      <xdr:rowOff>66675</xdr:rowOff>
    </xdr:from>
    <xdr:to>
      <xdr:col>12</xdr:col>
      <xdr:colOff>161925</xdr:colOff>
      <xdr:row>41</xdr:row>
      <xdr:rowOff>209550</xdr:rowOff>
    </xdr:to>
    <xdr:pic>
      <xdr:nvPicPr>
        <xdr:cNvPr id="34" name="CheckBox18"/>
        <xdr:cNvPicPr preferRelativeResize="1">
          <a:picLocks noChangeAspect="1"/>
        </xdr:cNvPicPr>
      </xdr:nvPicPr>
      <xdr:blipFill>
        <a:blip r:embed="rId1"/>
        <a:stretch>
          <a:fillRect/>
        </a:stretch>
      </xdr:blipFill>
      <xdr:spPr>
        <a:xfrm>
          <a:off x="8229600" y="6791325"/>
          <a:ext cx="133350" cy="142875"/>
        </a:xfrm>
        <a:prstGeom prst="rect">
          <a:avLst/>
        </a:prstGeom>
        <a:noFill/>
        <a:ln w="9525" cmpd="sng">
          <a:noFill/>
        </a:ln>
      </xdr:spPr>
    </xdr:pic>
    <xdr:clientData fPrintsWithSheet="0"/>
  </xdr:twoCellAnchor>
  <xdr:twoCellAnchor editAs="oneCell">
    <xdr:from>
      <xdr:col>10</xdr:col>
      <xdr:colOff>9525</xdr:colOff>
      <xdr:row>41</xdr:row>
      <xdr:rowOff>38100</xdr:rowOff>
    </xdr:from>
    <xdr:to>
      <xdr:col>10</xdr:col>
      <xdr:colOff>142875</xdr:colOff>
      <xdr:row>41</xdr:row>
      <xdr:rowOff>180975</xdr:rowOff>
    </xdr:to>
    <xdr:pic>
      <xdr:nvPicPr>
        <xdr:cNvPr id="35" name="CheckBox19"/>
        <xdr:cNvPicPr preferRelativeResize="1">
          <a:picLocks noChangeAspect="1"/>
        </xdr:cNvPicPr>
      </xdr:nvPicPr>
      <xdr:blipFill>
        <a:blip r:embed="rId1"/>
        <a:stretch>
          <a:fillRect/>
        </a:stretch>
      </xdr:blipFill>
      <xdr:spPr>
        <a:xfrm>
          <a:off x="7553325" y="6762750"/>
          <a:ext cx="133350" cy="1428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161925</xdr:colOff>
      <xdr:row>1</xdr:row>
      <xdr:rowOff>76200</xdr:rowOff>
    </xdr:from>
    <xdr:to>
      <xdr:col>4</xdr:col>
      <xdr:colOff>1276350</xdr:colOff>
      <xdr:row>2</xdr:row>
      <xdr:rowOff>114300</xdr:rowOff>
    </xdr:to>
    <xdr:pic>
      <xdr:nvPicPr>
        <xdr:cNvPr id="1" name="CommandButton1"/>
        <xdr:cNvPicPr preferRelativeResize="1">
          <a:picLocks noChangeAspect="1"/>
        </xdr:cNvPicPr>
      </xdr:nvPicPr>
      <xdr:blipFill>
        <a:blip r:embed="rId1"/>
        <a:stretch>
          <a:fillRect/>
        </a:stretch>
      </xdr:blipFill>
      <xdr:spPr>
        <a:xfrm>
          <a:off x="3638550" y="1343025"/>
          <a:ext cx="1114425" cy="342900"/>
        </a:xfrm>
        <a:prstGeom prst="rect">
          <a:avLst/>
        </a:prstGeom>
        <a:noFill/>
        <a:ln w="9525" cmpd="sng">
          <a:noFill/>
        </a:ln>
      </xdr:spPr>
    </xdr:pic>
    <xdr:clientData fPrintsWithSheet="0"/>
  </xdr:twoCellAnchor>
  <xdr:twoCellAnchor editAs="oneCell">
    <xdr:from>
      <xdr:col>1</xdr:col>
      <xdr:colOff>0</xdr:colOff>
      <xdr:row>22</xdr:row>
      <xdr:rowOff>142875</xdr:rowOff>
    </xdr:from>
    <xdr:to>
      <xdr:col>1</xdr:col>
      <xdr:colOff>466725</xdr:colOff>
      <xdr:row>23</xdr:row>
      <xdr:rowOff>152400</xdr:rowOff>
    </xdr:to>
    <xdr:pic>
      <xdr:nvPicPr>
        <xdr:cNvPr id="2" name="ComboBox2"/>
        <xdr:cNvPicPr preferRelativeResize="1">
          <a:picLocks noChangeAspect="1"/>
        </xdr:cNvPicPr>
      </xdr:nvPicPr>
      <xdr:blipFill>
        <a:blip r:embed="rId2"/>
        <a:stretch>
          <a:fillRect/>
        </a:stretch>
      </xdr:blipFill>
      <xdr:spPr>
        <a:xfrm>
          <a:off x="1981200" y="4953000"/>
          <a:ext cx="466725" cy="171450"/>
        </a:xfrm>
        <a:prstGeom prst="rect">
          <a:avLst/>
        </a:prstGeom>
        <a:noFill/>
        <a:ln w="9525" cmpd="sng">
          <a:noFill/>
        </a:ln>
      </xdr:spPr>
    </xdr:pic>
    <xdr:clientData fPrintsWithSheet="0"/>
  </xdr:twoCellAnchor>
  <xdr:twoCellAnchor editAs="oneCell">
    <xdr:from>
      <xdr:col>1</xdr:col>
      <xdr:colOff>0</xdr:colOff>
      <xdr:row>3</xdr:row>
      <xdr:rowOff>123825</xdr:rowOff>
    </xdr:from>
    <xdr:to>
      <xdr:col>1</xdr:col>
      <xdr:colOff>466725</xdr:colOff>
      <xdr:row>4</xdr:row>
      <xdr:rowOff>142875</xdr:rowOff>
    </xdr:to>
    <xdr:pic>
      <xdr:nvPicPr>
        <xdr:cNvPr id="3" name="ComboBox4"/>
        <xdr:cNvPicPr preferRelativeResize="1">
          <a:picLocks noChangeAspect="1"/>
        </xdr:cNvPicPr>
      </xdr:nvPicPr>
      <xdr:blipFill>
        <a:blip r:embed="rId3"/>
        <a:stretch>
          <a:fillRect/>
        </a:stretch>
      </xdr:blipFill>
      <xdr:spPr>
        <a:xfrm>
          <a:off x="1981200" y="1857375"/>
          <a:ext cx="466725" cy="180975"/>
        </a:xfrm>
        <a:prstGeom prst="rect">
          <a:avLst/>
        </a:prstGeom>
        <a:noFill/>
        <a:ln w="9525" cmpd="sng">
          <a:noFill/>
        </a:ln>
      </xdr:spPr>
    </xdr:pic>
    <xdr:clientData fPrintsWithSheet="0"/>
  </xdr:twoCellAnchor>
  <xdr:twoCellAnchor editAs="oneCell">
    <xdr:from>
      <xdr:col>2</xdr:col>
      <xdr:colOff>876300</xdr:colOff>
      <xdr:row>7</xdr:row>
      <xdr:rowOff>28575</xdr:rowOff>
    </xdr:from>
    <xdr:to>
      <xdr:col>4</xdr:col>
      <xdr:colOff>9525</xdr:colOff>
      <xdr:row>7</xdr:row>
      <xdr:rowOff>152400</xdr:rowOff>
    </xdr:to>
    <xdr:pic>
      <xdr:nvPicPr>
        <xdr:cNvPr id="4" name="CheckBox1"/>
        <xdr:cNvPicPr preferRelativeResize="1">
          <a:picLocks noChangeAspect="1"/>
        </xdr:cNvPicPr>
      </xdr:nvPicPr>
      <xdr:blipFill>
        <a:blip r:embed="rId4"/>
        <a:stretch>
          <a:fillRect/>
        </a:stretch>
      </xdr:blipFill>
      <xdr:spPr>
        <a:xfrm>
          <a:off x="3352800" y="2409825"/>
          <a:ext cx="133350" cy="123825"/>
        </a:xfrm>
        <a:prstGeom prst="rect">
          <a:avLst/>
        </a:prstGeom>
        <a:noFill/>
        <a:ln w="9525" cmpd="sng">
          <a:noFill/>
        </a:ln>
      </xdr:spPr>
    </xdr:pic>
    <xdr:clientData fPrintsWithSheet="0"/>
  </xdr:twoCellAnchor>
  <xdr:twoCellAnchor editAs="oneCell">
    <xdr:from>
      <xdr:col>2</xdr:col>
      <xdr:colOff>876300</xdr:colOff>
      <xdr:row>8</xdr:row>
      <xdr:rowOff>9525</xdr:rowOff>
    </xdr:from>
    <xdr:to>
      <xdr:col>4</xdr:col>
      <xdr:colOff>9525</xdr:colOff>
      <xdr:row>8</xdr:row>
      <xdr:rowOff>133350</xdr:rowOff>
    </xdr:to>
    <xdr:pic>
      <xdr:nvPicPr>
        <xdr:cNvPr id="5" name="CheckBox2"/>
        <xdr:cNvPicPr preferRelativeResize="1">
          <a:picLocks noChangeAspect="1"/>
        </xdr:cNvPicPr>
      </xdr:nvPicPr>
      <xdr:blipFill>
        <a:blip r:embed="rId4"/>
        <a:stretch>
          <a:fillRect/>
        </a:stretch>
      </xdr:blipFill>
      <xdr:spPr>
        <a:xfrm>
          <a:off x="3352800" y="2552700"/>
          <a:ext cx="133350" cy="123825"/>
        </a:xfrm>
        <a:prstGeom prst="rect">
          <a:avLst/>
        </a:prstGeom>
        <a:noFill/>
        <a:ln w="9525" cmpd="sng">
          <a:noFill/>
        </a:ln>
      </xdr:spPr>
    </xdr:pic>
    <xdr:clientData fPrintsWithSheet="0"/>
  </xdr:twoCellAnchor>
  <xdr:twoCellAnchor editAs="oneCell">
    <xdr:from>
      <xdr:col>2</xdr:col>
      <xdr:colOff>876300</xdr:colOff>
      <xdr:row>9</xdr:row>
      <xdr:rowOff>28575</xdr:rowOff>
    </xdr:from>
    <xdr:to>
      <xdr:col>4</xdr:col>
      <xdr:colOff>9525</xdr:colOff>
      <xdr:row>9</xdr:row>
      <xdr:rowOff>152400</xdr:rowOff>
    </xdr:to>
    <xdr:pic>
      <xdr:nvPicPr>
        <xdr:cNvPr id="6" name="CheckBox3"/>
        <xdr:cNvPicPr preferRelativeResize="1">
          <a:picLocks noChangeAspect="1"/>
        </xdr:cNvPicPr>
      </xdr:nvPicPr>
      <xdr:blipFill>
        <a:blip r:embed="rId5"/>
        <a:stretch>
          <a:fillRect/>
        </a:stretch>
      </xdr:blipFill>
      <xdr:spPr>
        <a:xfrm>
          <a:off x="3352800" y="2733675"/>
          <a:ext cx="133350" cy="123825"/>
        </a:xfrm>
        <a:prstGeom prst="rect">
          <a:avLst/>
        </a:prstGeom>
        <a:noFill/>
        <a:ln w="9525" cmpd="sng">
          <a:noFill/>
        </a:ln>
      </xdr:spPr>
    </xdr:pic>
    <xdr:clientData fPrintsWithSheet="0"/>
  </xdr:twoCellAnchor>
  <xdr:twoCellAnchor editAs="oneCell">
    <xdr:from>
      <xdr:col>2</xdr:col>
      <xdr:colOff>876300</xdr:colOff>
      <xdr:row>11</xdr:row>
      <xdr:rowOff>28575</xdr:rowOff>
    </xdr:from>
    <xdr:to>
      <xdr:col>4</xdr:col>
      <xdr:colOff>9525</xdr:colOff>
      <xdr:row>11</xdr:row>
      <xdr:rowOff>152400</xdr:rowOff>
    </xdr:to>
    <xdr:pic>
      <xdr:nvPicPr>
        <xdr:cNvPr id="7" name="CheckBox5"/>
        <xdr:cNvPicPr preferRelativeResize="1">
          <a:picLocks noChangeAspect="1"/>
        </xdr:cNvPicPr>
      </xdr:nvPicPr>
      <xdr:blipFill>
        <a:blip r:embed="rId5"/>
        <a:stretch>
          <a:fillRect/>
        </a:stretch>
      </xdr:blipFill>
      <xdr:spPr>
        <a:xfrm>
          <a:off x="3352800" y="3057525"/>
          <a:ext cx="133350" cy="123825"/>
        </a:xfrm>
        <a:prstGeom prst="rect">
          <a:avLst/>
        </a:prstGeom>
        <a:noFill/>
        <a:ln w="9525" cmpd="sng">
          <a:noFill/>
        </a:ln>
      </xdr:spPr>
    </xdr:pic>
    <xdr:clientData fPrintsWithSheet="0"/>
  </xdr:twoCellAnchor>
  <xdr:twoCellAnchor editAs="oneCell">
    <xdr:from>
      <xdr:col>2</xdr:col>
      <xdr:colOff>876300</xdr:colOff>
      <xdr:row>12</xdr:row>
      <xdr:rowOff>28575</xdr:rowOff>
    </xdr:from>
    <xdr:to>
      <xdr:col>4</xdr:col>
      <xdr:colOff>9525</xdr:colOff>
      <xdr:row>12</xdr:row>
      <xdr:rowOff>152400</xdr:rowOff>
    </xdr:to>
    <xdr:pic>
      <xdr:nvPicPr>
        <xdr:cNvPr id="8" name="CheckBox6"/>
        <xdr:cNvPicPr preferRelativeResize="1">
          <a:picLocks noChangeAspect="1"/>
        </xdr:cNvPicPr>
      </xdr:nvPicPr>
      <xdr:blipFill>
        <a:blip r:embed="rId4"/>
        <a:stretch>
          <a:fillRect/>
        </a:stretch>
      </xdr:blipFill>
      <xdr:spPr>
        <a:xfrm>
          <a:off x="3352800" y="3219450"/>
          <a:ext cx="133350" cy="123825"/>
        </a:xfrm>
        <a:prstGeom prst="rect">
          <a:avLst/>
        </a:prstGeom>
        <a:noFill/>
        <a:ln w="9525" cmpd="sng">
          <a:noFill/>
        </a:ln>
      </xdr:spPr>
    </xdr:pic>
    <xdr:clientData fPrintsWithSheet="0"/>
  </xdr:twoCellAnchor>
  <xdr:twoCellAnchor editAs="oneCell">
    <xdr:from>
      <xdr:col>2</xdr:col>
      <xdr:colOff>876300</xdr:colOff>
      <xdr:row>13</xdr:row>
      <xdr:rowOff>28575</xdr:rowOff>
    </xdr:from>
    <xdr:to>
      <xdr:col>4</xdr:col>
      <xdr:colOff>9525</xdr:colOff>
      <xdr:row>13</xdr:row>
      <xdr:rowOff>152400</xdr:rowOff>
    </xdr:to>
    <xdr:pic>
      <xdr:nvPicPr>
        <xdr:cNvPr id="9" name="CheckBox7"/>
        <xdr:cNvPicPr preferRelativeResize="1">
          <a:picLocks noChangeAspect="1"/>
        </xdr:cNvPicPr>
      </xdr:nvPicPr>
      <xdr:blipFill>
        <a:blip r:embed="rId4"/>
        <a:stretch>
          <a:fillRect/>
        </a:stretch>
      </xdr:blipFill>
      <xdr:spPr>
        <a:xfrm>
          <a:off x="3352800" y="3381375"/>
          <a:ext cx="133350" cy="123825"/>
        </a:xfrm>
        <a:prstGeom prst="rect">
          <a:avLst/>
        </a:prstGeom>
        <a:noFill/>
        <a:ln w="9525" cmpd="sng">
          <a:noFill/>
        </a:ln>
      </xdr:spPr>
    </xdr:pic>
    <xdr:clientData fPrintsWithSheet="0"/>
  </xdr:twoCellAnchor>
  <xdr:twoCellAnchor editAs="oneCell">
    <xdr:from>
      <xdr:col>2</xdr:col>
      <xdr:colOff>876300</xdr:colOff>
      <xdr:row>14</xdr:row>
      <xdr:rowOff>28575</xdr:rowOff>
    </xdr:from>
    <xdr:to>
      <xdr:col>4</xdr:col>
      <xdr:colOff>9525</xdr:colOff>
      <xdr:row>14</xdr:row>
      <xdr:rowOff>152400</xdr:rowOff>
    </xdr:to>
    <xdr:pic>
      <xdr:nvPicPr>
        <xdr:cNvPr id="10" name="CheckBox8"/>
        <xdr:cNvPicPr preferRelativeResize="1">
          <a:picLocks noChangeAspect="1"/>
        </xdr:cNvPicPr>
      </xdr:nvPicPr>
      <xdr:blipFill>
        <a:blip r:embed="rId4"/>
        <a:stretch>
          <a:fillRect/>
        </a:stretch>
      </xdr:blipFill>
      <xdr:spPr>
        <a:xfrm>
          <a:off x="3352800" y="3543300"/>
          <a:ext cx="133350" cy="123825"/>
        </a:xfrm>
        <a:prstGeom prst="rect">
          <a:avLst/>
        </a:prstGeom>
        <a:noFill/>
        <a:ln w="9525" cmpd="sng">
          <a:noFill/>
        </a:ln>
      </xdr:spPr>
    </xdr:pic>
    <xdr:clientData fPrintsWithSheet="0"/>
  </xdr:twoCellAnchor>
  <xdr:twoCellAnchor editAs="oneCell">
    <xdr:from>
      <xdr:col>2</xdr:col>
      <xdr:colOff>876300</xdr:colOff>
      <xdr:row>15</xdr:row>
      <xdr:rowOff>28575</xdr:rowOff>
    </xdr:from>
    <xdr:to>
      <xdr:col>4</xdr:col>
      <xdr:colOff>9525</xdr:colOff>
      <xdr:row>15</xdr:row>
      <xdr:rowOff>152400</xdr:rowOff>
    </xdr:to>
    <xdr:pic>
      <xdr:nvPicPr>
        <xdr:cNvPr id="11" name="CheckBox9"/>
        <xdr:cNvPicPr preferRelativeResize="1">
          <a:picLocks noChangeAspect="1"/>
        </xdr:cNvPicPr>
      </xdr:nvPicPr>
      <xdr:blipFill>
        <a:blip r:embed="rId4"/>
        <a:stretch>
          <a:fillRect/>
        </a:stretch>
      </xdr:blipFill>
      <xdr:spPr>
        <a:xfrm>
          <a:off x="3352800" y="3705225"/>
          <a:ext cx="133350" cy="123825"/>
        </a:xfrm>
        <a:prstGeom prst="rect">
          <a:avLst/>
        </a:prstGeom>
        <a:noFill/>
        <a:ln w="9525" cmpd="sng">
          <a:noFill/>
        </a:ln>
      </xdr:spPr>
    </xdr:pic>
    <xdr:clientData fPrintsWithSheet="0"/>
  </xdr:twoCellAnchor>
  <xdr:twoCellAnchor editAs="oneCell">
    <xdr:from>
      <xdr:col>2</xdr:col>
      <xdr:colOff>876300</xdr:colOff>
      <xdr:row>16</xdr:row>
      <xdr:rowOff>28575</xdr:rowOff>
    </xdr:from>
    <xdr:to>
      <xdr:col>4</xdr:col>
      <xdr:colOff>9525</xdr:colOff>
      <xdr:row>16</xdr:row>
      <xdr:rowOff>152400</xdr:rowOff>
    </xdr:to>
    <xdr:pic>
      <xdr:nvPicPr>
        <xdr:cNvPr id="12" name="CheckBox10"/>
        <xdr:cNvPicPr preferRelativeResize="1">
          <a:picLocks noChangeAspect="1"/>
        </xdr:cNvPicPr>
      </xdr:nvPicPr>
      <xdr:blipFill>
        <a:blip r:embed="rId5"/>
        <a:stretch>
          <a:fillRect/>
        </a:stretch>
      </xdr:blipFill>
      <xdr:spPr>
        <a:xfrm>
          <a:off x="3352800" y="3867150"/>
          <a:ext cx="133350" cy="123825"/>
        </a:xfrm>
        <a:prstGeom prst="rect">
          <a:avLst/>
        </a:prstGeom>
        <a:noFill/>
        <a:ln w="9525" cmpd="sng">
          <a:noFill/>
        </a:ln>
      </xdr:spPr>
    </xdr:pic>
    <xdr:clientData fPrintsWithSheet="0"/>
  </xdr:twoCellAnchor>
  <xdr:twoCellAnchor editAs="oneCell">
    <xdr:from>
      <xdr:col>2</xdr:col>
      <xdr:colOff>876300</xdr:colOff>
      <xdr:row>10</xdr:row>
      <xdr:rowOff>28575</xdr:rowOff>
    </xdr:from>
    <xdr:to>
      <xdr:col>4</xdr:col>
      <xdr:colOff>9525</xdr:colOff>
      <xdr:row>10</xdr:row>
      <xdr:rowOff>152400</xdr:rowOff>
    </xdr:to>
    <xdr:pic>
      <xdr:nvPicPr>
        <xdr:cNvPr id="13" name="CheckBox11"/>
        <xdr:cNvPicPr preferRelativeResize="1">
          <a:picLocks noChangeAspect="1"/>
        </xdr:cNvPicPr>
      </xdr:nvPicPr>
      <xdr:blipFill>
        <a:blip r:embed="rId4"/>
        <a:stretch>
          <a:fillRect/>
        </a:stretch>
      </xdr:blipFill>
      <xdr:spPr>
        <a:xfrm>
          <a:off x="3352800" y="2895600"/>
          <a:ext cx="133350" cy="123825"/>
        </a:xfrm>
        <a:prstGeom prst="rect">
          <a:avLst/>
        </a:prstGeom>
        <a:noFill/>
        <a:ln w="9525" cmpd="sng">
          <a:noFill/>
        </a:ln>
      </xdr:spPr>
    </xdr:pic>
    <xdr:clientData fPrintsWithSheet="0"/>
  </xdr:twoCellAnchor>
  <xdr:twoCellAnchor editAs="oneCell">
    <xdr:from>
      <xdr:col>7</xdr:col>
      <xdr:colOff>0</xdr:colOff>
      <xdr:row>10</xdr:row>
      <xdr:rowOff>28575</xdr:rowOff>
    </xdr:from>
    <xdr:to>
      <xdr:col>7</xdr:col>
      <xdr:colOff>133350</xdr:colOff>
      <xdr:row>10</xdr:row>
      <xdr:rowOff>152400</xdr:rowOff>
    </xdr:to>
    <xdr:pic>
      <xdr:nvPicPr>
        <xdr:cNvPr id="14" name="CheckBox4"/>
        <xdr:cNvPicPr preferRelativeResize="1">
          <a:picLocks noChangeAspect="1"/>
        </xdr:cNvPicPr>
      </xdr:nvPicPr>
      <xdr:blipFill>
        <a:blip r:embed="rId4"/>
        <a:stretch>
          <a:fillRect/>
        </a:stretch>
      </xdr:blipFill>
      <xdr:spPr>
        <a:xfrm>
          <a:off x="6829425" y="2895600"/>
          <a:ext cx="133350" cy="123825"/>
        </a:xfrm>
        <a:prstGeom prst="rect">
          <a:avLst/>
        </a:prstGeom>
        <a:noFill/>
        <a:ln w="9525" cmpd="sng">
          <a:noFill/>
        </a:ln>
      </xdr:spPr>
    </xdr:pic>
    <xdr:clientData fPrintsWithSheet="0"/>
  </xdr:twoCellAnchor>
  <xdr:twoCellAnchor editAs="oneCell">
    <xdr:from>
      <xdr:col>7</xdr:col>
      <xdr:colOff>0</xdr:colOff>
      <xdr:row>11</xdr:row>
      <xdr:rowOff>28575</xdr:rowOff>
    </xdr:from>
    <xdr:to>
      <xdr:col>7</xdr:col>
      <xdr:colOff>133350</xdr:colOff>
      <xdr:row>11</xdr:row>
      <xdr:rowOff>152400</xdr:rowOff>
    </xdr:to>
    <xdr:pic>
      <xdr:nvPicPr>
        <xdr:cNvPr id="15" name="CheckBox12"/>
        <xdr:cNvPicPr preferRelativeResize="1">
          <a:picLocks noChangeAspect="1"/>
        </xdr:cNvPicPr>
      </xdr:nvPicPr>
      <xdr:blipFill>
        <a:blip r:embed="rId5"/>
        <a:stretch>
          <a:fillRect/>
        </a:stretch>
      </xdr:blipFill>
      <xdr:spPr>
        <a:xfrm>
          <a:off x="6829425" y="3057525"/>
          <a:ext cx="133350" cy="123825"/>
        </a:xfrm>
        <a:prstGeom prst="rect">
          <a:avLst/>
        </a:prstGeom>
        <a:noFill/>
        <a:ln w="9525" cmpd="sng">
          <a:noFill/>
        </a:ln>
      </xdr:spPr>
    </xdr:pic>
    <xdr:clientData fPrintsWithSheet="0"/>
  </xdr:twoCellAnchor>
  <xdr:twoCellAnchor editAs="oneCell">
    <xdr:from>
      <xdr:col>7</xdr:col>
      <xdr:colOff>0</xdr:colOff>
      <xdr:row>7</xdr:row>
      <xdr:rowOff>28575</xdr:rowOff>
    </xdr:from>
    <xdr:to>
      <xdr:col>7</xdr:col>
      <xdr:colOff>133350</xdr:colOff>
      <xdr:row>7</xdr:row>
      <xdr:rowOff>152400</xdr:rowOff>
    </xdr:to>
    <xdr:pic>
      <xdr:nvPicPr>
        <xdr:cNvPr id="16" name="CheckBox13"/>
        <xdr:cNvPicPr preferRelativeResize="1">
          <a:picLocks noChangeAspect="1"/>
        </xdr:cNvPicPr>
      </xdr:nvPicPr>
      <xdr:blipFill>
        <a:blip r:embed="rId5"/>
        <a:stretch>
          <a:fillRect/>
        </a:stretch>
      </xdr:blipFill>
      <xdr:spPr>
        <a:xfrm>
          <a:off x="6829425" y="2409825"/>
          <a:ext cx="133350" cy="123825"/>
        </a:xfrm>
        <a:prstGeom prst="rect">
          <a:avLst/>
        </a:prstGeom>
        <a:noFill/>
        <a:ln w="9525" cmpd="sng">
          <a:noFill/>
        </a:ln>
      </xdr:spPr>
    </xdr:pic>
    <xdr:clientData fPrintsWithSheet="0"/>
  </xdr:twoCellAnchor>
  <xdr:twoCellAnchor editAs="oneCell">
    <xdr:from>
      <xdr:col>7</xdr:col>
      <xdr:colOff>0</xdr:colOff>
      <xdr:row>8</xdr:row>
      <xdr:rowOff>28575</xdr:rowOff>
    </xdr:from>
    <xdr:to>
      <xdr:col>7</xdr:col>
      <xdr:colOff>133350</xdr:colOff>
      <xdr:row>8</xdr:row>
      <xdr:rowOff>152400</xdr:rowOff>
    </xdr:to>
    <xdr:pic>
      <xdr:nvPicPr>
        <xdr:cNvPr id="17" name="CheckBox14"/>
        <xdr:cNvPicPr preferRelativeResize="1">
          <a:picLocks noChangeAspect="1"/>
        </xdr:cNvPicPr>
      </xdr:nvPicPr>
      <xdr:blipFill>
        <a:blip r:embed="rId5"/>
        <a:stretch>
          <a:fillRect/>
        </a:stretch>
      </xdr:blipFill>
      <xdr:spPr>
        <a:xfrm>
          <a:off x="6829425" y="2571750"/>
          <a:ext cx="133350" cy="123825"/>
        </a:xfrm>
        <a:prstGeom prst="rect">
          <a:avLst/>
        </a:prstGeom>
        <a:noFill/>
        <a:ln w="9525" cmpd="sng">
          <a:noFill/>
        </a:ln>
      </xdr:spPr>
    </xdr:pic>
    <xdr:clientData fPrintsWithSheet="0"/>
  </xdr:twoCellAnchor>
  <xdr:twoCellAnchor editAs="oneCell">
    <xdr:from>
      <xdr:col>7</xdr:col>
      <xdr:colOff>0</xdr:colOff>
      <xdr:row>9</xdr:row>
      <xdr:rowOff>28575</xdr:rowOff>
    </xdr:from>
    <xdr:to>
      <xdr:col>7</xdr:col>
      <xdr:colOff>133350</xdr:colOff>
      <xdr:row>9</xdr:row>
      <xdr:rowOff>152400</xdr:rowOff>
    </xdr:to>
    <xdr:pic>
      <xdr:nvPicPr>
        <xdr:cNvPr id="18" name="CheckBox15"/>
        <xdr:cNvPicPr preferRelativeResize="1">
          <a:picLocks noChangeAspect="1"/>
        </xdr:cNvPicPr>
      </xdr:nvPicPr>
      <xdr:blipFill>
        <a:blip r:embed="rId5"/>
        <a:stretch>
          <a:fillRect/>
        </a:stretch>
      </xdr:blipFill>
      <xdr:spPr>
        <a:xfrm>
          <a:off x="6829425" y="2733675"/>
          <a:ext cx="133350" cy="123825"/>
        </a:xfrm>
        <a:prstGeom prst="rect">
          <a:avLst/>
        </a:prstGeom>
        <a:noFill/>
        <a:ln w="9525" cmpd="sng">
          <a:noFill/>
        </a:ln>
      </xdr:spPr>
    </xdr:pic>
    <xdr:clientData fPrintsWithSheet="0"/>
  </xdr:twoCellAnchor>
  <xdr:twoCellAnchor editAs="oneCell">
    <xdr:from>
      <xdr:col>2</xdr:col>
      <xdr:colOff>857250</xdr:colOff>
      <xdr:row>27</xdr:row>
      <xdr:rowOff>28575</xdr:rowOff>
    </xdr:from>
    <xdr:to>
      <xdr:col>3</xdr:col>
      <xdr:colOff>104775</xdr:colOff>
      <xdr:row>27</xdr:row>
      <xdr:rowOff>152400</xdr:rowOff>
    </xdr:to>
    <xdr:pic>
      <xdr:nvPicPr>
        <xdr:cNvPr id="19" name="CheckBox22"/>
        <xdr:cNvPicPr preferRelativeResize="1">
          <a:picLocks noChangeAspect="1"/>
        </xdr:cNvPicPr>
      </xdr:nvPicPr>
      <xdr:blipFill>
        <a:blip r:embed="rId5"/>
        <a:stretch>
          <a:fillRect/>
        </a:stretch>
      </xdr:blipFill>
      <xdr:spPr>
        <a:xfrm>
          <a:off x="3333750" y="5648325"/>
          <a:ext cx="133350" cy="123825"/>
        </a:xfrm>
        <a:prstGeom prst="rect">
          <a:avLst/>
        </a:prstGeom>
        <a:noFill/>
        <a:ln w="9525" cmpd="sng">
          <a:noFill/>
        </a:ln>
      </xdr:spPr>
    </xdr:pic>
    <xdr:clientData fPrintsWithSheet="0"/>
  </xdr:twoCellAnchor>
  <xdr:twoCellAnchor editAs="oneCell">
    <xdr:from>
      <xdr:col>2</xdr:col>
      <xdr:colOff>866775</xdr:colOff>
      <xdr:row>28</xdr:row>
      <xdr:rowOff>47625</xdr:rowOff>
    </xdr:from>
    <xdr:to>
      <xdr:col>4</xdr:col>
      <xdr:colOff>0</xdr:colOff>
      <xdr:row>29</xdr:row>
      <xdr:rowOff>9525</xdr:rowOff>
    </xdr:to>
    <xdr:pic>
      <xdr:nvPicPr>
        <xdr:cNvPr id="20" name="CheckBox23"/>
        <xdr:cNvPicPr preferRelativeResize="1">
          <a:picLocks noChangeAspect="1"/>
        </xdr:cNvPicPr>
      </xdr:nvPicPr>
      <xdr:blipFill>
        <a:blip r:embed="rId4"/>
        <a:stretch>
          <a:fillRect/>
        </a:stretch>
      </xdr:blipFill>
      <xdr:spPr>
        <a:xfrm>
          <a:off x="3343275" y="5829300"/>
          <a:ext cx="133350" cy="123825"/>
        </a:xfrm>
        <a:prstGeom prst="rect">
          <a:avLst/>
        </a:prstGeom>
        <a:noFill/>
        <a:ln w="9525" cmpd="sng">
          <a:noFill/>
        </a:ln>
      </xdr:spPr>
    </xdr:pic>
    <xdr:clientData fPrintsWithSheet="0"/>
  </xdr:twoCellAnchor>
  <xdr:twoCellAnchor editAs="oneCell">
    <xdr:from>
      <xdr:col>2</xdr:col>
      <xdr:colOff>866775</xdr:colOff>
      <xdr:row>29</xdr:row>
      <xdr:rowOff>9525</xdr:rowOff>
    </xdr:from>
    <xdr:to>
      <xdr:col>4</xdr:col>
      <xdr:colOff>0</xdr:colOff>
      <xdr:row>29</xdr:row>
      <xdr:rowOff>133350</xdr:rowOff>
    </xdr:to>
    <xdr:pic>
      <xdr:nvPicPr>
        <xdr:cNvPr id="21" name="CheckBox24"/>
        <xdr:cNvPicPr preferRelativeResize="1">
          <a:picLocks noChangeAspect="1"/>
        </xdr:cNvPicPr>
      </xdr:nvPicPr>
      <xdr:blipFill>
        <a:blip r:embed="rId5"/>
        <a:stretch>
          <a:fillRect/>
        </a:stretch>
      </xdr:blipFill>
      <xdr:spPr>
        <a:xfrm>
          <a:off x="3343275" y="5953125"/>
          <a:ext cx="133350" cy="123825"/>
        </a:xfrm>
        <a:prstGeom prst="rect">
          <a:avLst/>
        </a:prstGeom>
        <a:noFill/>
        <a:ln w="9525" cmpd="sng">
          <a:noFill/>
        </a:ln>
      </xdr:spPr>
    </xdr:pic>
    <xdr:clientData fPrintsWithSheet="0"/>
  </xdr:twoCellAnchor>
  <xdr:twoCellAnchor editAs="oneCell">
    <xdr:from>
      <xdr:col>2</xdr:col>
      <xdr:colOff>876300</xdr:colOff>
      <xdr:row>30</xdr:row>
      <xdr:rowOff>9525</xdr:rowOff>
    </xdr:from>
    <xdr:to>
      <xdr:col>4</xdr:col>
      <xdr:colOff>9525</xdr:colOff>
      <xdr:row>30</xdr:row>
      <xdr:rowOff>123825</xdr:rowOff>
    </xdr:to>
    <xdr:pic>
      <xdr:nvPicPr>
        <xdr:cNvPr id="22" name="CheckBox25"/>
        <xdr:cNvPicPr preferRelativeResize="1">
          <a:picLocks noChangeAspect="1"/>
        </xdr:cNvPicPr>
      </xdr:nvPicPr>
      <xdr:blipFill>
        <a:blip r:embed="rId4"/>
        <a:stretch>
          <a:fillRect/>
        </a:stretch>
      </xdr:blipFill>
      <xdr:spPr>
        <a:xfrm>
          <a:off x="3352800" y="6115050"/>
          <a:ext cx="133350" cy="114300"/>
        </a:xfrm>
        <a:prstGeom prst="rect">
          <a:avLst/>
        </a:prstGeom>
        <a:noFill/>
        <a:ln w="9525" cmpd="sng">
          <a:noFill/>
        </a:ln>
      </xdr:spPr>
    </xdr:pic>
    <xdr:clientData fPrintsWithSheet="0"/>
  </xdr:twoCellAnchor>
  <xdr:twoCellAnchor editAs="oneCell">
    <xdr:from>
      <xdr:col>3</xdr:col>
      <xdr:colOff>0</xdr:colOff>
      <xdr:row>31</xdr:row>
      <xdr:rowOff>28575</xdr:rowOff>
    </xdr:from>
    <xdr:to>
      <xdr:col>4</xdr:col>
      <xdr:colOff>19050</xdr:colOff>
      <xdr:row>31</xdr:row>
      <xdr:rowOff>152400</xdr:rowOff>
    </xdr:to>
    <xdr:pic>
      <xdr:nvPicPr>
        <xdr:cNvPr id="23" name="CheckBox26"/>
        <xdr:cNvPicPr preferRelativeResize="1">
          <a:picLocks noChangeAspect="1"/>
        </xdr:cNvPicPr>
      </xdr:nvPicPr>
      <xdr:blipFill>
        <a:blip r:embed="rId4"/>
        <a:stretch>
          <a:fillRect/>
        </a:stretch>
      </xdr:blipFill>
      <xdr:spPr>
        <a:xfrm>
          <a:off x="3362325" y="6296025"/>
          <a:ext cx="133350" cy="123825"/>
        </a:xfrm>
        <a:prstGeom prst="rect">
          <a:avLst/>
        </a:prstGeom>
        <a:noFill/>
        <a:ln w="9525" cmpd="sng">
          <a:noFill/>
        </a:ln>
      </xdr:spPr>
    </xdr:pic>
    <xdr:clientData fPrintsWithSheet="0"/>
  </xdr:twoCellAnchor>
  <xdr:twoCellAnchor editAs="oneCell">
    <xdr:from>
      <xdr:col>3</xdr:col>
      <xdr:colOff>0</xdr:colOff>
      <xdr:row>32</xdr:row>
      <xdr:rowOff>9525</xdr:rowOff>
    </xdr:from>
    <xdr:to>
      <xdr:col>4</xdr:col>
      <xdr:colOff>19050</xdr:colOff>
      <xdr:row>32</xdr:row>
      <xdr:rowOff>133350</xdr:rowOff>
    </xdr:to>
    <xdr:pic>
      <xdr:nvPicPr>
        <xdr:cNvPr id="24" name="CheckBox27"/>
        <xdr:cNvPicPr preferRelativeResize="1">
          <a:picLocks noChangeAspect="1"/>
        </xdr:cNvPicPr>
      </xdr:nvPicPr>
      <xdr:blipFill>
        <a:blip r:embed="rId4"/>
        <a:stretch>
          <a:fillRect/>
        </a:stretch>
      </xdr:blipFill>
      <xdr:spPr>
        <a:xfrm>
          <a:off x="3362325" y="6438900"/>
          <a:ext cx="133350" cy="123825"/>
        </a:xfrm>
        <a:prstGeom prst="rect">
          <a:avLst/>
        </a:prstGeom>
        <a:noFill/>
        <a:ln w="9525" cmpd="sng">
          <a:noFill/>
        </a:ln>
      </xdr:spPr>
    </xdr:pic>
    <xdr:clientData fPrintsWithSheet="0"/>
  </xdr:twoCellAnchor>
  <xdr:twoCellAnchor editAs="oneCell">
    <xdr:from>
      <xdr:col>2</xdr:col>
      <xdr:colOff>857250</xdr:colOff>
      <xdr:row>33</xdr:row>
      <xdr:rowOff>0</xdr:rowOff>
    </xdr:from>
    <xdr:to>
      <xdr:col>3</xdr:col>
      <xdr:colOff>104775</xdr:colOff>
      <xdr:row>33</xdr:row>
      <xdr:rowOff>123825</xdr:rowOff>
    </xdr:to>
    <xdr:pic>
      <xdr:nvPicPr>
        <xdr:cNvPr id="25" name="CheckBox28"/>
        <xdr:cNvPicPr preferRelativeResize="1">
          <a:picLocks noChangeAspect="1"/>
        </xdr:cNvPicPr>
      </xdr:nvPicPr>
      <xdr:blipFill>
        <a:blip r:embed="rId4"/>
        <a:stretch>
          <a:fillRect/>
        </a:stretch>
      </xdr:blipFill>
      <xdr:spPr>
        <a:xfrm>
          <a:off x="3333750" y="6591300"/>
          <a:ext cx="133350" cy="123825"/>
        </a:xfrm>
        <a:prstGeom prst="rect">
          <a:avLst/>
        </a:prstGeom>
        <a:noFill/>
        <a:ln w="9525" cmpd="sng">
          <a:noFill/>
        </a:ln>
      </xdr:spPr>
    </xdr:pic>
    <xdr:clientData fPrintsWithSheet="0"/>
  </xdr:twoCellAnchor>
  <xdr:twoCellAnchor editAs="oneCell">
    <xdr:from>
      <xdr:col>2</xdr:col>
      <xdr:colOff>866775</xdr:colOff>
      <xdr:row>34</xdr:row>
      <xdr:rowOff>28575</xdr:rowOff>
    </xdr:from>
    <xdr:to>
      <xdr:col>4</xdr:col>
      <xdr:colOff>0</xdr:colOff>
      <xdr:row>34</xdr:row>
      <xdr:rowOff>152400</xdr:rowOff>
    </xdr:to>
    <xdr:pic>
      <xdr:nvPicPr>
        <xdr:cNvPr id="26" name="CheckBox29"/>
        <xdr:cNvPicPr preferRelativeResize="1">
          <a:picLocks noChangeAspect="1"/>
        </xdr:cNvPicPr>
      </xdr:nvPicPr>
      <xdr:blipFill>
        <a:blip r:embed="rId5"/>
        <a:stretch>
          <a:fillRect/>
        </a:stretch>
      </xdr:blipFill>
      <xdr:spPr>
        <a:xfrm>
          <a:off x="3343275" y="6781800"/>
          <a:ext cx="133350" cy="123825"/>
        </a:xfrm>
        <a:prstGeom prst="rect">
          <a:avLst/>
        </a:prstGeom>
        <a:noFill/>
        <a:ln w="9525" cmpd="sng">
          <a:noFill/>
        </a:ln>
      </xdr:spPr>
    </xdr:pic>
    <xdr:clientData fPrintsWithSheet="0"/>
  </xdr:twoCellAnchor>
  <xdr:twoCellAnchor editAs="oneCell">
    <xdr:from>
      <xdr:col>2</xdr:col>
      <xdr:colOff>866775</xdr:colOff>
      <xdr:row>45</xdr:row>
      <xdr:rowOff>9525</xdr:rowOff>
    </xdr:from>
    <xdr:to>
      <xdr:col>4</xdr:col>
      <xdr:colOff>0</xdr:colOff>
      <xdr:row>45</xdr:row>
      <xdr:rowOff>133350</xdr:rowOff>
    </xdr:to>
    <xdr:pic>
      <xdr:nvPicPr>
        <xdr:cNvPr id="27" name="CheckBox30"/>
        <xdr:cNvPicPr preferRelativeResize="1">
          <a:picLocks noChangeAspect="1"/>
        </xdr:cNvPicPr>
      </xdr:nvPicPr>
      <xdr:blipFill>
        <a:blip r:embed="rId5"/>
        <a:stretch>
          <a:fillRect/>
        </a:stretch>
      </xdr:blipFill>
      <xdr:spPr>
        <a:xfrm>
          <a:off x="3343275" y="8543925"/>
          <a:ext cx="133350" cy="123825"/>
        </a:xfrm>
        <a:prstGeom prst="rect">
          <a:avLst/>
        </a:prstGeom>
        <a:noFill/>
        <a:ln w="9525" cmpd="sng">
          <a:noFill/>
        </a:ln>
      </xdr:spPr>
    </xdr:pic>
    <xdr:clientData fPrintsWithSheet="0"/>
  </xdr:twoCellAnchor>
  <xdr:twoCellAnchor editAs="oneCell">
    <xdr:from>
      <xdr:col>2</xdr:col>
      <xdr:colOff>876300</xdr:colOff>
      <xdr:row>46</xdr:row>
      <xdr:rowOff>9525</xdr:rowOff>
    </xdr:from>
    <xdr:to>
      <xdr:col>4</xdr:col>
      <xdr:colOff>9525</xdr:colOff>
      <xdr:row>46</xdr:row>
      <xdr:rowOff>123825</xdr:rowOff>
    </xdr:to>
    <xdr:pic>
      <xdr:nvPicPr>
        <xdr:cNvPr id="28" name="CheckBox31"/>
        <xdr:cNvPicPr preferRelativeResize="1">
          <a:picLocks noChangeAspect="1"/>
        </xdr:cNvPicPr>
      </xdr:nvPicPr>
      <xdr:blipFill>
        <a:blip r:embed="rId5"/>
        <a:stretch>
          <a:fillRect/>
        </a:stretch>
      </xdr:blipFill>
      <xdr:spPr>
        <a:xfrm>
          <a:off x="3352800" y="8705850"/>
          <a:ext cx="133350" cy="114300"/>
        </a:xfrm>
        <a:prstGeom prst="rect">
          <a:avLst/>
        </a:prstGeom>
        <a:noFill/>
        <a:ln w="9525" cmpd="sng">
          <a:noFill/>
        </a:ln>
      </xdr:spPr>
    </xdr:pic>
    <xdr:clientData fPrintsWithSheet="0"/>
  </xdr:twoCellAnchor>
  <xdr:twoCellAnchor editAs="oneCell">
    <xdr:from>
      <xdr:col>2</xdr:col>
      <xdr:colOff>876300</xdr:colOff>
      <xdr:row>47</xdr:row>
      <xdr:rowOff>9525</xdr:rowOff>
    </xdr:from>
    <xdr:to>
      <xdr:col>4</xdr:col>
      <xdr:colOff>9525</xdr:colOff>
      <xdr:row>47</xdr:row>
      <xdr:rowOff>133350</xdr:rowOff>
    </xdr:to>
    <xdr:pic>
      <xdr:nvPicPr>
        <xdr:cNvPr id="29" name="CheckBox32"/>
        <xdr:cNvPicPr preferRelativeResize="1">
          <a:picLocks noChangeAspect="1"/>
        </xdr:cNvPicPr>
      </xdr:nvPicPr>
      <xdr:blipFill>
        <a:blip r:embed="rId5"/>
        <a:stretch>
          <a:fillRect/>
        </a:stretch>
      </xdr:blipFill>
      <xdr:spPr>
        <a:xfrm>
          <a:off x="3352800" y="8867775"/>
          <a:ext cx="133350" cy="123825"/>
        </a:xfrm>
        <a:prstGeom prst="rect">
          <a:avLst/>
        </a:prstGeom>
        <a:noFill/>
        <a:ln w="9525" cmpd="sng">
          <a:noFill/>
        </a:ln>
      </xdr:spPr>
    </xdr:pic>
    <xdr:clientData fPrintsWithSheet="0"/>
  </xdr:twoCellAnchor>
  <xdr:twoCellAnchor editAs="oneCell">
    <xdr:from>
      <xdr:col>2</xdr:col>
      <xdr:colOff>876300</xdr:colOff>
      <xdr:row>48</xdr:row>
      <xdr:rowOff>28575</xdr:rowOff>
    </xdr:from>
    <xdr:to>
      <xdr:col>4</xdr:col>
      <xdr:colOff>9525</xdr:colOff>
      <xdr:row>48</xdr:row>
      <xdr:rowOff>152400</xdr:rowOff>
    </xdr:to>
    <xdr:pic>
      <xdr:nvPicPr>
        <xdr:cNvPr id="30" name="CheckBox33"/>
        <xdr:cNvPicPr preferRelativeResize="1">
          <a:picLocks noChangeAspect="1"/>
        </xdr:cNvPicPr>
      </xdr:nvPicPr>
      <xdr:blipFill>
        <a:blip r:embed="rId4"/>
        <a:stretch>
          <a:fillRect/>
        </a:stretch>
      </xdr:blipFill>
      <xdr:spPr>
        <a:xfrm>
          <a:off x="3352800" y="9048750"/>
          <a:ext cx="133350" cy="123825"/>
        </a:xfrm>
        <a:prstGeom prst="rect">
          <a:avLst/>
        </a:prstGeom>
        <a:noFill/>
        <a:ln w="9525" cmpd="sng">
          <a:noFill/>
        </a:ln>
      </xdr:spPr>
    </xdr:pic>
    <xdr:clientData fPrintsWithSheet="0"/>
  </xdr:twoCellAnchor>
  <xdr:twoCellAnchor editAs="oneCell">
    <xdr:from>
      <xdr:col>2</xdr:col>
      <xdr:colOff>876300</xdr:colOff>
      <xdr:row>49</xdr:row>
      <xdr:rowOff>28575</xdr:rowOff>
    </xdr:from>
    <xdr:to>
      <xdr:col>4</xdr:col>
      <xdr:colOff>9525</xdr:colOff>
      <xdr:row>49</xdr:row>
      <xdr:rowOff>152400</xdr:rowOff>
    </xdr:to>
    <xdr:pic>
      <xdr:nvPicPr>
        <xdr:cNvPr id="31" name="CheckBox34"/>
        <xdr:cNvPicPr preferRelativeResize="1">
          <a:picLocks noChangeAspect="1"/>
        </xdr:cNvPicPr>
      </xdr:nvPicPr>
      <xdr:blipFill>
        <a:blip r:embed="rId5"/>
        <a:stretch>
          <a:fillRect/>
        </a:stretch>
      </xdr:blipFill>
      <xdr:spPr>
        <a:xfrm>
          <a:off x="3352800" y="9210675"/>
          <a:ext cx="133350" cy="123825"/>
        </a:xfrm>
        <a:prstGeom prst="rect">
          <a:avLst/>
        </a:prstGeom>
        <a:noFill/>
        <a:ln w="9525" cmpd="sng">
          <a:noFill/>
        </a:ln>
      </xdr:spPr>
    </xdr:pic>
    <xdr:clientData fPrintsWithSheet="0"/>
  </xdr:twoCellAnchor>
  <xdr:twoCellAnchor editAs="oneCell">
    <xdr:from>
      <xdr:col>1</xdr:col>
      <xdr:colOff>95250</xdr:colOff>
      <xdr:row>42</xdr:row>
      <xdr:rowOff>152400</xdr:rowOff>
    </xdr:from>
    <xdr:to>
      <xdr:col>2</xdr:col>
      <xdr:colOff>66675</xdr:colOff>
      <xdr:row>44</xdr:row>
      <xdr:rowOff>0</xdr:rowOff>
    </xdr:to>
    <xdr:pic>
      <xdr:nvPicPr>
        <xdr:cNvPr id="32" name="ComboBox1"/>
        <xdr:cNvPicPr preferRelativeResize="1">
          <a:picLocks noChangeAspect="1"/>
        </xdr:cNvPicPr>
      </xdr:nvPicPr>
      <xdr:blipFill>
        <a:blip r:embed="rId6"/>
        <a:stretch>
          <a:fillRect/>
        </a:stretch>
      </xdr:blipFill>
      <xdr:spPr>
        <a:xfrm>
          <a:off x="2076450" y="8201025"/>
          <a:ext cx="466725" cy="171450"/>
        </a:xfrm>
        <a:prstGeom prst="rect">
          <a:avLst/>
        </a:prstGeom>
        <a:noFill/>
        <a:ln w="9525" cmpd="sng">
          <a:noFill/>
        </a:ln>
      </xdr:spPr>
    </xdr:pic>
    <xdr:clientData fPrintsWithSheet="0"/>
  </xdr:twoCellAnchor>
  <xdr:twoCellAnchor editAs="oneCell">
    <xdr:from>
      <xdr:col>5</xdr:col>
      <xdr:colOff>0</xdr:colOff>
      <xdr:row>3</xdr:row>
      <xdr:rowOff>142875</xdr:rowOff>
    </xdr:from>
    <xdr:to>
      <xdr:col>5</xdr:col>
      <xdr:colOff>466725</xdr:colOff>
      <xdr:row>4</xdr:row>
      <xdr:rowOff>152400</xdr:rowOff>
    </xdr:to>
    <xdr:pic>
      <xdr:nvPicPr>
        <xdr:cNvPr id="33" name="ComboBox6"/>
        <xdr:cNvPicPr preferRelativeResize="1">
          <a:picLocks noChangeAspect="1"/>
        </xdr:cNvPicPr>
      </xdr:nvPicPr>
      <xdr:blipFill>
        <a:blip r:embed="rId7"/>
        <a:stretch>
          <a:fillRect/>
        </a:stretch>
      </xdr:blipFill>
      <xdr:spPr>
        <a:xfrm>
          <a:off x="5457825" y="1876425"/>
          <a:ext cx="466725" cy="171450"/>
        </a:xfrm>
        <a:prstGeom prst="rect">
          <a:avLst/>
        </a:prstGeom>
        <a:noFill/>
        <a:ln w="9525" cmpd="sng">
          <a:noFill/>
        </a:ln>
      </xdr:spPr>
    </xdr:pic>
    <xdr:clientData fPrintsWithSheet="0"/>
  </xdr:twoCellAnchor>
  <xdr:twoCellAnchor editAs="oneCell">
    <xdr:from>
      <xdr:col>3</xdr:col>
      <xdr:colOff>0</xdr:colOff>
      <xdr:row>26</xdr:row>
      <xdr:rowOff>9525</xdr:rowOff>
    </xdr:from>
    <xdr:to>
      <xdr:col>4</xdr:col>
      <xdr:colOff>19050</xdr:colOff>
      <xdr:row>26</xdr:row>
      <xdr:rowOff>133350</xdr:rowOff>
    </xdr:to>
    <xdr:pic>
      <xdr:nvPicPr>
        <xdr:cNvPr id="34" name="CheckBox16"/>
        <xdr:cNvPicPr preferRelativeResize="1">
          <a:picLocks noChangeAspect="1"/>
        </xdr:cNvPicPr>
      </xdr:nvPicPr>
      <xdr:blipFill>
        <a:blip r:embed="rId5"/>
        <a:stretch>
          <a:fillRect/>
        </a:stretch>
      </xdr:blipFill>
      <xdr:spPr>
        <a:xfrm>
          <a:off x="3362325" y="5467350"/>
          <a:ext cx="133350" cy="123825"/>
        </a:xfrm>
        <a:prstGeom prst="rect">
          <a:avLst/>
        </a:prstGeom>
        <a:noFill/>
        <a:ln w="9525" cmpd="sng">
          <a:noFill/>
        </a:ln>
      </xdr:spPr>
    </xdr:pic>
    <xdr:clientData fPrintsWithSheet="0"/>
  </xdr:twoCellAnchor>
  <xdr:twoCellAnchor editAs="oneCell">
    <xdr:from>
      <xdr:col>3</xdr:col>
      <xdr:colOff>0</xdr:colOff>
      <xdr:row>25</xdr:row>
      <xdr:rowOff>28575</xdr:rowOff>
    </xdr:from>
    <xdr:to>
      <xdr:col>4</xdr:col>
      <xdr:colOff>19050</xdr:colOff>
      <xdr:row>25</xdr:row>
      <xdr:rowOff>152400</xdr:rowOff>
    </xdr:to>
    <xdr:pic>
      <xdr:nvPicPr>
        <xdr:cNvPr id="35" name="CheckBox17"/>
        <xdr:cNvPicPr preferRelativeResize="1">
          <a:picLocks noChangeAspect="1"/>
        </xdr:cNvPicPr>
      </xdr:nvPicPr>
      <xdr:blipFill>
        <a:blip r:embed="rId5"/>
        <a:stretch>
          <a:fillRect/>
        </a:stretch>
      </xdr:blipFill>
      <xdr:spPr>
        <a:xfrm>
          <a:off x="3362325" y="5324475"/>
          <a:ext cx="133350" cy="123825"/>
        </a:xfrm>
        <a:prstGeom prst="rect">
          <a:avLst/>
        </a:prstGeom>
        <a:noFill/>
        <a:ln w="9525" cmpd="sng">
          <a:noFill/>
        </a:ln>
      </xdr:spPr>
    </xdr:pic>
    <xdr:clientData fPrintsWithSheet="0"/>
  </xdr:twoCellAnchor>
  <xdr:twoCellAnchor editAs="oneCell">
    <xdr:from>
      <xdr:col>5</xdr:col>
      <xdr:colOff>76200</xdr:colOff>
      <xdr:row>36</xdr:row>
      <xdr:rowOff>85725</xdr:rowOff>
    </xdr:from>
    <xdr:to>
      <xdr:col>6</xdr:col>
      <xdr:colOff>676275</xdr:colOff>
      <xdr:row>38</xdr:row>
      <xdr:rowOff>114300</xdr:rowOff>
    </xdr:to>
    <xdr:pic>
      <xdr:nvPicPr>
        <xdr:cNvPr id="36" name="CommandButton2"/>
        <xdr:cNvPicPr preferRelativeResize="1">
          <a:picLocks noChangeAspect="1"/>
        </xdr:cNvPicPr>
      </xdr:nvPicPr>
      <xdr:blipFill>
        <a:blip r:embed="rId8"/>
        <a:stretch>
          <a:fillRect/>
        </a:stretch>
      </xdr:blipFill>
      <xdr:spPr>
        <a:xfrm>
          <a:off x="5534025" y="7162800"/>
          <a:ext cx="1095375" cy="352425"/>
        </a:xfrm>
        <a:prstGeom prst="rect">
          <a:avLst/>
        </a:prstGeom>
        <a:noFill/>
        <a:ln w="9525" cmpd="sng">
          <a:noFill/>
        </a:ln>
      </xdr:spPr>
    </xdr:pic>
    <xdr:clientData fPrintsWithSheet="0"/>
  </xdr:twoCellAnchor>
  <xdr:twoCellAnchor editAs="oneCell">
    <xdr:from>
      <xdr:col>7</xdr:col>
      <xdr:colOff>0</xdr:colOff>
      <xdr:row>12</xdr:row>
      <xdr:rowOff>28575</xdr:rowOff>
    </xdr:from>
    <xdr:to>
      <xdr:col>7</xdr:col>
      <xdr:colOff>133350</xdr:colOff>
      <xdr:row>12</xdr:row>
      <xdr:rowOff>152400</xdr:rowOff>
    </xdr:to>
    <xdr:pic>
      <xdr:nvPicPr>
        <xdr:cNvPr id="37" name="CheckBox18"/>
        <xdr:cNvPicPr preferRelativeResize="1">
          <a:picLocks noChangeAspect="1"/>
        </xdr:cNvPicPr>
      </xdr:nvPicPr>
      <xdr:blipFill>
        <a:blip r:embed="rId5"/>
        <a:stretch>
          <a:fillRect/>
        </a:stretch>
      </xdr:blipFill>
      <xdr:spPr>
        <a:xfrm>
          <a:off x="6829425" y="3219450"/>
          <a:ext cx="133350" cy="123825"/>
        </a:xfrm>
        <a:prstGeom prst="rect">
          <a:avLst/>
        </a:prstGeom>
        <a:noFill/>
        <a:ln w="9525" cmpd="sng">
          <a:noFill/>
        </a:ln>
      </xdr:spPr>
    </xdr:pic>
    <xdr:clientData fPrintsWithSheet="0"/>
  </xdr:twoCellAnchor>
  <xdr:twoCellAnchor editAs="oneCell">
    <xdr:from>
      <xdr:col>7</xdr:col>
      <xdr:colOff>0</xdr:colOff>
      <xdr:row>12</xdr:row>
      <xdr:rowOff>28575</xdr:rowOff>
    </xdr:from>
    <xdr:to>
      <xdr:col>7</xdr:col>
      <xdr:colOff>133350</xdr:colOff>
      <xdr:row>12</xdr:row>
      <xdr:rowOff>152400</xdr:rowOff>
    </xdr:to>
    <xdr:pic>
      <xdr:nvPicPr>
        <xdr:cNvPr id="38" name="CheckBox19"/>
        <xdr:cNvPicPr preferRelativeResize="1">
          <a:picLocks noChangeAspect="1"/>
        </xdr:cNvPicPr>
      </xdr:nvPicPr>
      <xdr:blipFill>
        <a:blip r:embed="rId4"/>
        <a:stretch>
          <a:fillRect/>
        </a:stretch>
      </xdr:blipFill>
      <xdr:spPr>
        <a:xfrm>
          <a:off x="6829425" y="3219450"/>
          <a:ext cx="133350" cy="123825"/>
        </a:xfrm>
        <a:prstGeom prst="rect">
          <a:avLst/>
        </a:prstGeom>
        <a:noFill/>
        <a:ln w="9525" cmpd="sng">
          <a:noFill/>
        </a:ln>
      </xdr:spPr>
    </xdr:pic>
    <xdr:clientData fPrintsWithSheet="0"/>
  </xdr:twoCellAnchor>
  <xdr:twoCellAnchor editAs="oneCell">
    <xdr:from>
      <xdr:col>7</xdr:col>
      <xdr:colOff>0</xdr:colOff>
      <xdr:row>13</xdr:row>
      <xdr:rowOff>28575</xdr:rowOff>
    </xdr:from>
    <xdr:to>
      <xdr:col>7</xdr:col>
      <xdr:colOff>133350</xdr:colOff>
      <xdr:row>13</xdr:row>
      <xdr:rowOff>152400</xdr:rowOff>
    </xdr:to>
    <xdr:pic>
      <xdr:nvPicPr>
        <xdr:cNvPr id="39" name="CheckBox20"/>
        <xdr:cNvPicPr preferRelativeResize="1">
          <a:picLocks noChangeAspect="1"/>
        </xdr:cNvPicPr>
      </xdr:nvPicPr>
      <xdr:blipFill>
        <a:blip r:embed="rId4"/>
        <a:stretch>
          <a:fillRect/>
        </a:stretch>
      </xdr:blipFill>
      <xdr:spPr>
        <a:xfrm>
          <a:off x="6829425" y="3381375"/>
          <a:ext cx="133350" cy="123825"/>
        </a:xfrm>
        <a:prstGeom prst="rect">
          <a:avLst/>
        </a:prstGeom>
        <a:noFill/>
        <a:ln w="9525" cmpd="sng">
          <a:noFill/>
        </a:ln>
      </xdr:spPr>
    </xdr:pic>
    <xdr:clientData fPrintsWithSheet="0"/>
  </xdr:twoCellAnchor>
  <xdr:twoCellAnchor editAs="oneCell">
    <xdr:from>
      <xdr:col>7</xdr:col>
      <xdr:colOff>0</xdr:colOff>
      <xdr:row>14</xdr:row>
      <xdr:rowOff>28575</xdr:rowOff>
    </xdr:from>
    <xdr:to>
      <xdr:col>7</xdr:col>
      <xdr:colOff>133350</xdr:colOff>
      <xdr:row>14</xdr:row>
      <xdr:rowOff>152400</xdr:rowOff>
    </xdr:to>
    <xdr:pic>
      <xdr:nvPicPr>
        <xdr:cNvPr id="40" name="CheckBox21"/>
        <xdr:cNvPicPr preferRelativeResize="1">
          <a:picLocks noChangeAspect="1"/>
        </xdr:cNvPicPr>
      </xdr:nvPicPr>
      <xdr:blipFill>
        <a:blip r:embed="rId4"/>
        <a:stretch>
          <a:fillRect/>
        </a:stretch>
      </xdr:blipFill>
      <xdr:spPr>
        <a:xfrm>
          <a:off x="6829425" y="3543300"/>
          <a:ext cx="133350" cy="123825"/>
        </a:xfrm>
        <a:prstGeom prst="rect">
          <a:avLst/>
        </a:prstGeom>
        <a:noFill/>
        <a:ln w="9525" cmpd="sng">
          <a:noFill/>
        </a:ln>
      </xdr:spPr>
    </xdr:pic>
    <xdr:clientData fPrintsWithSheet="0"/>
  </xdr:twoCellAnchor>
  <xdr:twoCellAnchor editAs="oneCell">
    <xdr:from>
      <xdr:col>7</xdr:col>
      <xdr:colOff>0</xdr:colOff>
      <xdr:row>15</xdr:row>
      <xdr:rowOff>28575</xdr:rowOff>
    </xdr:from>
    <xdr:to>
      <xdr:col>7</xdr:col>
      <xdr:colOff>133350</xdr:colOff>
      <xdr:row>15</xdr:row>
      <xdr:rowOff>152400</xdr:rowOff>
    </xdr:to>
    <xdr:pic>
      <xdr:nvPicPr>
        <xdr:cNvPr id="41" name="CheckBox35"/>
        <xdr:cNvPicPr preferRelativeResize="1">
          <a:picLocks noChangeAspect="1"/>
        </xdr:cNvPicPr>
      </xdr:nvPicPr>
      <xdr:blipFill>
        <a:blip r:embed="rId4"/>
        <a:stretch>
          <a:fillRect/>
        </a:stretch>
      </xdr:blipFill>
      <xdr:spPr>
        <a:xfrm>
          <a:off x="6829425" y="3705225"/>
          <a:ext cx="133350" cy="123825"/>
        </a:xfrm>
        <a:prstGeom prst="rect">
          <a:avLst/>
        </a:prstGeom>
        <a:noFill/>
        <a:ln w="9525" cmpd="sng">
          <a:noFill/>
        </a:ln>
      </xdr:spPr>
    </xdr:pic>
    <xdr:clientData fPrintsWithSheet="0"/>
  </xdr:twoCellAnchor>
  <xdr:twoCellAnchor editAs="oneCell">
    <xdr:from>
      <xdr:col>7</xdr:col>
      <xdr:colOff>0</xdr:colOff>
      <xdr:row>16</xdr:row>
      <xdr:rowOff>28575</xdr:rowOff>
    </xdr:from>
    <xdr:to>
      <xdr:col>7</xdr:col>
      <xdr:colOff>133350</xdr:colOff>
      <xdr:row>16</xdr:row>
      <xdr:rowOff>152400</xdr:rowOff>
    </xdr:to>
    <xdr:pic>
      <xdr:nvPicPr>
        <xdr:cNvPr id="42" name="CheckBox36"/>
        <xdr:cNvPicPr preferRelativeResize="1">
          <a:picLocks noChangeAspect="1"/>
        </xdr:cNvPicPr>
      </xdr:nvPicPr>
      <xdr:blipFill>
        <a:blip r:embed="rId5"/>
        <a:stretch>
          <a:fillRect/>
        </a:stretch>
      </xdr:blipFill>
      <xdr:spPr>
        <a:xfrm>
          <a:off x="6829425" y="3867150"/>
          <a:ext cx="133350" cy="123825"/>
        </a:xfrm>
        <a:prstGeom prst="rect">
          <a:avLst/>
        </a:prstGeom>
        <a:noFill/>
        <a:ln w="9525" cmpd="sng">
          <a:noFill/>
        </a:ln>
      </xdr:spPr>
    </xdr:pic>
    <xdr:clientData fPrintsWithSheet="0"/>
  </xdr:twoCellAnchor>
  <xdr:twoCellAnchor editAs="oneCell">
    <xdr:from>
      <xdr:col>2</xdr:col>
      <xdr:colOff>866775</xdr:colOff>
      <xdr:row>53</xdr:row>
      <xdr:rowOff>28575</xdr:rowOff>
    </xdr:from>
    <xdr:to>
      <xdr:col>4</xdr:col>
      <xdr:colOff>0</xdr:colOff>
      <xdr:row>53</xdr:row>
      <xdr:rowOff>152400</xdr:rowOff>
    </xdr:to>
    <xdr:pic>
      <xdr:nvPicPr>
        <xdr:cNvPr id="43" name="CheckBox37"/>
        <xdr:cNvPicPr preferRelativeResize="1">
          <a:picLocks noChangeAspect="1"/>
        </xdr:cNvPicPr>
      </xdr:nvPicPr>
      <xdr:blipFill>
        <a:blip r:embed="rId4"/>
        <a:stretch>
          <a:fillRect/>
        </a:stretch>
      </xdr:blipFill>
      <xdr:spPr>
        <a:xfrm>
          <a:off x="3343275" y="9858375"/>
          <a:ext cx="133350" cy="123825"/>
        </a:xfrm>
        <a:prstGeom prst="rect">
          <a:avLst/>
        </a:prstGeom>
        <a:noFill/>
        <a:ln w="9525" cmpd="sng">
          <a:noFill/>
        </a:ln>
      </xdr:spPr>
    </xdr:pic>
    <xdr:clientData fPrintsWithSheet="0"/>
  </xdr:twoCellAnchor>
  <xdr:twoCellAnchor editAs="oneCell">
    <xdr:from>
      <xdr:col>3</xdr:col>
      <xdr:colOff>0</xdr:colOff>
      <xdr:row>52</xdr:row>
      <xdr:rowOff>28575</xdr:rowOff>
    </xdr:from>
    <xdr:to>
      <xdr:col>4</xdr:col>
      <xdr:colOff>19050</xdr:colOff>
      <xdr:row>52</xdr:row>
      <xdr:rowOff>152400</xdr:rowOff>
    </xdr:to>
    <xdr:pic>
      <xdr:nvPicPr>
        <xdr:cNvPr id="44" name="CheckBox38"/>
        <xdr:cNvPicPr preferRelativeResize="1">
          <a:picLocks noChangeAspect="1"/>
        </xdr:cNvPicPr>
      </xdr:nvPicPr>
      <xdr:blipFill>
        <a:blip r:embed="rId4"/>
        <a:stretch>
          <a:fillRect/>
        </a:stretch>
      </xdr:blipFill>
      <xdr:spPr>
        <a:xfrm>
          <a:off x="3362325" y="9696450"/>
          <a:ext cx="133350" cy="123825"/>
        </a:xfrm>
        <a:prstGeom prst="rect">
          <a:avLst/>
        </a:prstGeom>
        <a:noFill/>
        <a:ln w="9525" cmpd="sng">
          <a:noFill/>
        </a:ln>
      </xdr:spPr>
    </xdr:pic>
    <xdr:clientData fPrintsWithSheet="0"/>
  </xdr:twoCellAnchor>
  <xdr:twoCellAnchor editAs="oneCell">
    <xdr:from>
      <xdr:col>2</xdr:col>
      <xdr:colOff>876300</xdr:colOff>
      <xdr:row>51</xdr:row>
      <xdr:rowOff>9525</xdr:rowOff>
    </xdr:from>
    <xdr:to>
      <xdr:col>4</xdr:col>
      <xdr:colOff>9525</xdr:colOff>
      <xdr:row>51</xdr:row>
      <xdr:rowOff>123825</xdr:rowOff>
    </xdr:to>
    <xdr:pic>
      <xdr:nvPicPr>
        <xdr:cNvPr id="45" name="CheckBox39"/>
        <xdr:cNvPicPr preferRelativeResize="1">
          <a:picLocks noChangeAspect="1"/>
        </xdr:cNvPicPr>
      </xdr:nvPicPr>
      <xdr:blipFill>
        <a:blip r:embed="rId4"/>
        <a:stretch>
          <a:fillRect/>
        </a:stretch>
      </xdr:blipFill>
      <xdr:spPr>
        <a:xfrm>
          <a:off x="3352800" y="9515475"/>
          <a:ext cx="133350" cy="114300"/>
        </a:xfrm>
        <a:prstGeom prst="rect">
          <a:avLst/>
        </a:prstGeom>
        <a:noFill/>
        <a:ln w="9525" cmpd="sng">
          <a:noFill/>
        </a:ln>
      </xdr:spPr>
    </xdr:pic>
    <xdr:clientData fPrintsWithSheet="0"/>
  </xdr:twoCellAnchor>
  <xdr:twoCellAnchor editAs="oneCell">
    <xdr:from>
      <xdr:col>2</xdr:col>
      <xdr:colOff>876300</xdr:colOff>
      <xdr:row>50</xdr:row>
      <xdr:rowOff>9525</xdr:rowOff>
    </xdr:from>
    <xdr:to>
      <xdr:col>4</xdr:col>
      <xdr:colOff>9525</xdr:colOff>
      <xdr:row>50</xdr:row>
      <xdr:rowOff>123825</xdr:rowOff>
    </xdr:to>
    <xdr:pic>
      <xdr:nvPicPr>
        <xdr:cNvPr id="46" name="CheckBox40"/>
        <xdr:cNvPicPr preferRelativeResize="1">
          <a:picLocks noChangeAspect="1"/>
        </xdr:cNvPicPr>
      </xdr:nvPicPr>
      <xdr:blipFill>
        <a:blip r:embed="rId4"/>
        <a:stretch>
          <a:fillRect/>
        </a:stretch>
      </xdr:blipFill>
      <xdr:spPr>
        <a:xfrm>
          <a:off x="3352800" y="9353550"/>
          <a:ext cx="133350" cy="114300"/>
        </a:xfrm>
        <a:prstGeom prst="rect">
          <a:avLst/>
        </a:prstGeom>
        <a:noFill/>
        <a:ln w="9525" cmpd="sng">
          <a:noFill/>
        </a:ln>
      </xdr:spPr>
    </xdr:pic>
    <xdr:clientData fPrintsWithSheet="0"/>
  </xdr:twoCellAnchor>
  <xdr:twoCellAnchor editAs="oneCell">
    <xdr:from>
      <xdr:col>3</xdr:col>
      <xdr:colOff>0</xdr:colOff>
      <xdr:row>54</xdr:row>
      <xdr:rowOff>28575</xdr:rowOff>
    </xdr:from>
    <xdr:to>
      <xdr:col>4</xdr:col>
      <xdr:colOff>19050</xdr:colOff>
      <xdr:row>54</xdr:row>
      <xdr:rowOff>152400</xdr:rowOff>
    </xdr:to>
    <xdr:pic>
      <xdr:nvPicPr>
        <xdr:cNvPr id="47" name="CheckBox41"/>
        <xdr:cNvPicPr preferRelativeResize="1">
          <a:picLocks noChangeAspect="1"/>
        </xdr:cNvPicPr>
      </xdr:nvPicPr>
      <xdr:blipFill>
        <a:blip r:embed="rId4"/>
        <a:stretch>
          <a:fillRect/>
        </a:stretch>
      </xdr:blipFill>
      <xdr:spPr>
        <a:xfrm>
          <a:off x="3362325" y="10020300"/>
          <a:ext cx="133350" cy="123825"/>
        </a:xfrm>
        <a:prstGeom prst="rect">
          <a:avLst/>
        </a:prstGeom>
        <a:noFill/>
        <a:ln w="9525" cmpd="sng">
          <a:noFill/>
        </a:ln>
      </xdr:spPr>
    </xdr:pic>
    <xdr:clientData fPrintsWithSheet="0"/>
  </xdr:twoCellAnchor>
  <xdr:twoCellAnchor editAs="oneCell">
    <xdr:from>
      <xdr:col>5</xdr:col>
      <xdr:colOff>85725</xdr:colOff>
      <xdr:row>42</xdr:row>
      <xdr:rowOff>152400</xdr:rowOff>
    </xdr:from>
    <xdr:to>
      <xdr:col>6</xdr:col>
      <xdr:colOff>57150</xdr:colOff>
      <xdr:row>44</xdr:row>
      <xdr:rowOff>0</xdr:rowOff>
    </xdr:to>
    <xdr:pic>
      <xdr:nvPicPr>
        <xdr:cNvPr id="48" name="ComboBox3"/>
        <xdr:cNvPicPr preferRelativeResize="1">
          <a:picLocks noChangeAspect="1"/>
        </xdr:cNvPicPr>
      </xdr:nvPicPr>
      <xdr:blipFill>
        <a:blip r:embed="rId9"/>
        <a:stretch>
          <a:fillRect/>
        </a:stretch>
      </xdr:blipFill>
      <xdr:spPr>
        <a:xfrm>
          <a:off x="5543550" y="8201025"/>
          <a:ext cx="466725" cy="171450"/>
        </a:xfrm>
        <a:prstGeom prst="rect">
          <a:avLst/>
        </a:prstGeom>
        <a:noFill/>
        <a:ln w="9525" cmpd="sng">
          <a:noFill/>
        </a:ln>
      </xdr:spPr>
    </xdr:pic>
    <xdr:clientData fPrintsWithSheet="0"/>
  </xdr:twoCellAnchor>
  <xdr:twoCellAnchor editAs="oneCell">
    <xdr:from>
      <xdr:col>7</xdr:col>
      <xdr:colOff>19050</xdr:colOff>
      <xdr:row>45</xdr:row>
      <xdr:rowOff>28575</xdr:rowOff>
    </xdr:from>
    <xdr:to>
      <xdr:col>7</xdr:col>
      <xdr:colOff>152400</xdr:colOff>
      <xdr:row>45</xdr:row>
      <xdr:rowOff>152400</xdr:rowOff>
    </xdr:to>
    <xdr:pic>
      <xdr:nvPicPr>
        <xdr:cNvPr id="49" name="CheckBox42"/>
        <xdr:cNvPicPr preferRelativeResize="1">
          <a:picLocks noChangeAspect="1"/>
        </xdr:cNvPicPr>
      </xdr:nvPicPr>
      <xdr:blipFill>
        <a:blip r:embed="rId5"/>
        <a:stretch>
          <a:fillRect/>
        </a:stretch>
      </xdr:blipFill>
      <xdr:spPr>
        <a:xfrm>
          <a:off x="6848475" y="8562975"/>
          <a:ext cx="133350" cy="123825"/>
        </a:xfrm>
        <a:prstGeom prst="rect">
          <a:avLst/>
        </a:prstGeom>
        <a:noFill/>
        <a:ln w="9525" cmpd="sng">
          <a:noFill/>
        </a:ln>
      </xdr:spPr>
    </xdr:pic>
    <xdr:clientData fPrintsWithSheet="0"/>
  </xdr:twoCellAnchor>
  <xdr:twoCellAnchor editAs="oneCell">
    <xdr:from>
      <xdr:col>7</xdr:col>
      <xdr:colOff>19050</xdr:colOff>
      <xdr:row>46</xdr:row>
      <xdr:rowOff>38100</xdr:rowOff>
    </xdr:from>
    <xdr:to>
      <xdr:col>7</xdr:col>
      <xdr:colOff>152400</xdr:colOff>
      <xdr:row>46</xdr:row>
      <xdr:rowOff>161925</xdr:rowOff>
    </xdr:to>
    <xdr:pic>
      <xdr:nvPicPr>
        <xdr:cNvPr id="50" name="CheckBox43"/>
        <xdr:cNvPicPr preferRelativeResize="1">
          <a:picLocks noChangeAspect="1"/>
        </xdr:cNvPicPr>
      </xdr:nvPicPr>
      <xdr:blipFill>
        <a:blip r:embed="rId5"/>
        <a:stretch>
          <a:fillRect/>
        </a:stretch>
      </xdr:blipFill>
      <xdr:spPr>
        <a:xfrm>
          <a:off x="6848475" y="8734425"/>
          <a:ext cx="133350" cy="123825"/>
        </a:xfrm>
        <a:prstGeom prst="rect">
          <a:avLst/>
        </a:prstGeom>
        <a:noFill/>
        <a:ln w="9525" cmpd="sng">
          <a:noFill/>
        </a:ln>
      </xdr:spPr>
    </xdr:pic>
    <xdr:clientData fPrintsWithSheet="0"/>
  </xdr:twoCellAnchor>
  <xdr:twoCellAnchor editAs="oneCell">
    <xdr:from>
      <xdr:col>7</xdr:col>
      <xdr:colOff>19050</xdr:colOff>
      <xdr:row>47</xdr:row>
      <xdr:rowOff>9525</xdr:rowOff>
    </xdr:from>
    <xdr:to>
      <xdr:col>7</xdr:col>
      <xdr:colOff>152400</xdr:colOff>
      <xdr:row>47</xdr:row>
      <xdr:rowOff>133350</xdr:rowOff>
    </xdr:to>
    <xdr:pic>
      <xdr:nvPicPr>
        <xdr:cNvPr id="51" name="CheckBox44"/>
        <xdr:cNvPicPr preferRelativeResize="1">
          <a:picLocks noChangeAspect="1"/>
        </xdr:cNvPicPr>
      </xdr:nvPicPr>
      <xdr:blipFill>
        <a:blip r:embed="rId5"/>
        <a:stretch>
          <a:fillRect/>
        </a:stretch>
      </xdr:blipFill>
      <xdr:spPr>
        <a:xfrm>
          <a:off x="6848475" y="8867775"/>
          <a:ext cx="133350" cy="123825"/>
        </a:xfrm>
        <a:prstGeom prst="rect">
          <a:avLst/>
        </a:prstGeom>
        <a:noFill/>
        <a:ln w="9525" cmpd="sng">
          <a:noFill/>
        </a:ln>
      </xdr:spPr>
    </xdr:pic>
    <xdr:clientData fPrintsWithSheet="0"/>
  </xdr:twoCellAnchor>
  <xdr:twoCellAnchor editAs="oneCell">
    <xdr:from>
      <xdr:col>7</xdr:col>
      <xdr:colOff>19050</xdr:colOff>
      <xdr:row>48</xdr:row>
      <xdr:rowOff>9525</xdr:rowOff>
    </xdr:from>
    <xdr:to>
      <xdr:col>7</xdr:col>
      <xdr:colOff>152400</xdr:colOff>
      <xdr:row>48</xdr:row>
      <xdr:rowOff>133350</xdr:rowOff>
    </xdr:to>
    <xdr:pic>
      <xdr:nvPicPr>
        <xdr:cNvPr id="52" name="CheckBox45"/>
        <xdr:cNvPicPr preferRelativeResize="1">
          <a:picLocks noChangeAspect="1"/>
        </xdr:cNvPicPr>
      </xdr:nvPicPr>
      <xdr:blipFill>
        <a:blip r:embed="rId5"/>
        <a:stretch>
          <a:fillRect/>
        </a:stretch>
      </xdr:blipFill>
      <xdr:spPr>
        <a:xfrm>
          <a:off x="6848475" y="9029700"/>
          <a:ext cx="133350" cy="123825"/>
        </a:xfrm>
        <a:prstGeom prst="rect">
          <a:avLst/>
        </a:prstGeom>
        <a:noFill/>
        <a:ln w="9525" cmpd="sng">
          <a:noFill/>
        </a:ln>
      </xdr:spPr>
    </xdr:pic>
    <xdr:clientData fPrintsWithSheet="0"/>
  </xdr:twoCellAnchor>
  <xdr:twoCellAnchor editAs="oneCell">
    <xdr:from>
      <xdr:col>7</xdr:col>
      <xdr:colOff>19050</xdr:colOff>
      <xdr:row>49</xdr:row>
      <xdr:rowOff>9525</xdr:rowOff>
    </xdr:from>
    <xdr:to>
      <xdr:col>7</xdr:col>
      <xdr:colOff>152400</xdr:colOff>
      <xdr:row>49</xdr:row>
      <xdr:rowOff>133350</xdr:rowOff>
    </xdr:to>
    <xdr:pic>
      <xdr:nvPicPr>
        <xdr:cNvPr id="53" name="CheckBox46"/>
        <xdr:cNvPicPr preferRelativeResize="1">
          <a:picLocks noChangeAspect="1"/>
        </xdr:cNvPicPr>
      </xdr:nvPicPr>
      <xdr:blipFill>
        <a:blip r:embed="rId5"/>
        <a:stretch>
          <a:fillRect/>
        </a:stretch>
      </xdr:blipFill>
      <xdr:spPr>
        <a:xfrm>
          <a:off x="6848475" y="9191625"/>
          <a:ext cx="133350" cy="123825"/>
        </a:xfrm>
        <a:prstGeom prst="rect">
          <a:avLst/>
        </a:prstGeom>
        <a:noFill/>
        <a:ln w="9525" cmpd="sng">
          <a:noFill/>
        </a:ln>
      </xdr:spPr>
    </xdr:pic>
    <xdr:clientData fPrintsWithSheet="0"/>
  </xdr:twoCellAnchor>
  <xdr:twoCellAnchor editAs="oneCell">
    <xdr:from>
      <xdr:col>7</xdr:col>
      <xdr:colOff>19050</xdr:colOff>
      <xdr:row>50</xdr:row>
      <xdr:rowOff>9525</xdr:rowOff>
    </xdr:from>
    <xdr:to>
      <xdr:col>7</xdr:col>
      <xdr:colOff>152400</xdr:colOff>
      <xdr:row>50</xdr:row>
      <xdr:rowOff>133350</xdr:rowOff>
    </xdr:to>
    <xdr:pic>
      <xdr:nvPicPr>
        <xdr:cNvPr id="54" name="CheckBox47"/>
        <xdr:cNvPicPr preferRelativeResize="1">
          <a:picLocks noChangeAspect="1"/>
        </xdr:cNvPicPr>
      </xdr:nvPicPr>
      <xdr:blipFill>
        <a:blip r:embed="rId5"/>
        <a:stretch>
          <a:fillRect/>
        </a:stretch>
      </xdr:blipFill>
      <xdr:spPr>
        <a:xfrm>
          <a:off x="6848475" y="9353550"/>
          <a:ext cx="133350" cy="123825"/>
        </a:xfrm>
        <a:prstGeom prst="rect">
          <a:avLst/>
        </a:prstGeom>
        <a:noFill/>
        <a:ln w="9525" cmpd="sng">
          <a:noFill/>
        </a:ln>
      </xdr:spPr>
    </xdr:pic>
    <xdr:clientData fPrintsWithSheet="0"/>
  </xdr:twoCellAnchor>
  <xdr:twoCellAnchor editAs="oneCell">
    <xdr:from>
      <xdr:col>7</xdr:col>
      <xdr:colOff>38100</xdr:colOff>
      <xdr:row>51</xdr:row>
      <xdr:rowOff>9525</xdr:rowOff>
    </xdr:from>
    <xdr:to>
      <xdr:col>7</xdr:col>
      <xdr:colOff>171450</xdr:colOff>
      <xdr:row>51</xdr:row>
      <xdr:rowOff>133350</xdr:rowOff>
    </xdr:to>
    <xdr:pic>
      <xdr:nvPicPr>
        <xdr:cNvPr id="55" name="CheckBox48"/>
        <xdr:cNvPicPr preferRelativeResize="1">
          <a:picLocks noChangeAspect="1"/>
        </xdr:cNvPicPr>
      </xdr:nvPicPr>
      <xdr:blipFill>
        <a:blip r:embed="rId5"/>
        <a:stretch>
          <a:fillRect/>
        </a:stretch>
      </xdr:blipFill>
      <xdr:spPr>
        <a:xfrm>
          <a:off x="6867525" y="9515475"/>
          <a:ext cx="133350" cy="123825"/>
        </a:xfrm>
        <a:prstGeom prst="rect">
          <a:avLst/>
        </a:prstGeom>
        <a:noFill/>
        <a:ln w="9525" cmpd="sng">
          <a:noFill/>
        </a:ln>
      </xdr:spPr>
    </xdr:pic>
    <xdr:clientData fPrintsWithSheet="0"/>
  </xdr:twoCellAnchor>
  <xdr:twoCellAnchor editAs="oneCell">
    <xdr:from>
      <xdr:col>7</xdr:col>
      <xdr:colOff>38100</xdr:colOff>
      <xdr:row>52</xdr:row>
      <xdr:rowOff>9525</xdr:rowOff>
    </xdr:from>
    <xdr:to>
      <xdr:col>7</xdr:col>
      <xdr:colOff>171450</xdr:colOff>
      <xdr:row>52</xdr:row>
      <xdr:rowOff>133350</xdr:rowOff>
    </xdr:to>
    <xdr:pic>
      <xdr:nvPicPr>
        <xdr:cNvPr id="56" name="CheckBox49"/>
        <xdr:cNvPicPr preferRelativeResize="1">
          <a:picLocks noChangeAspect="1"/>
        </xdr:cNvPicPr>
      </xdr:nvPicPr>
      <xdr:blipFill>
        <a:blip r:embed="rId5"/>
        <a:stretch>
          <a:fillRect/>
        </a:stretch>
      </xdr:blipFill>
      <xdr:spPr>
        <a:xfrm>
          <a:off x="6867525" y="9677400"/>
          <a:ext cx="133350" cy="123825"/>
        </a:xfrm>
        <a:prstGeom prst="rect">
          <a:avLst/>
        </a:prstGeom>
        <a:noFill/>
        <a:ln w="9525" cmpd="sng">
          <a:noFill/>
        </a:ln>
      </xdr:spPr>
    </xdr:pic>
    <xdr:clientData fPrintsWithSheet="0"/>
  </xdr:twoCellAnchor>
  <xdr:twoCellAnchor editAs="oneCell">
    <xdr:from>
      <xdr:col>7</xdr:col>
      <xdr:colOff>38100</xdr:colOff>
      <xdr:row>53</xdr:row>
      <xdr:rowOff>9525</xdr:rowOff>
    </xdr:from>
    <xdr:to>
      <xdr:col>7</xdr:col>
      <xdr:colOff>171450</xdr:colOff>
      <xdr:row>53</xdr:row>
      <xdr:rowOff>133350</xdr:rowOff>
    </xdr:to>
    <xdr:pic>
      <xdr:nvPicPr>
        <xdr:cNvPr id="57" name="CheckBox50"/>
        <xdr:cNvPicPr preferRelativeResize="1">
          <a:picLocks noChangeAspect="1"/>
        </xdr:cNvPicPr>
      </xdr:nvPicPr>
      <xdr:blipFill>
        <a:blip r:embed="rId5"/>
        <a:stretch>
          <a:fillRect/>
        </a:stretch>
      </xdr:blipFill>
      <xdr:spPr>
        <a:xfrm>
          <a:off x="6867525" y="9839325"/>
          <a:ext cx="133350" cy="123825"/>
        </a:xfrm>
        <a:prstGeom prst="rect">
          <a:avLst/>
        </a:prstGeom>
        <a:noFill/>
        <a:ln w="9525" cmpd="sng">
          <a:noFill/>
        </a:ln>
      </xdr:spPr>
    </xdr:pic>
    <xdr:clientData fPrintsWithSheet="0"/>
  </xdr:twoCellAnchor>
  <xdr:twoCellAnchor editAs="oneCell">
    <xdr:from>
      <xdr:col>7</xdr:col>
      <xdr:colOff>38100</xdr:colOff>
      <xdr:row>54</xdr:row>
      <xdr:rowOff>9525</xdr:rowOff>
    </xdr:from>
    <xdr:to>
      <xdr:col>7</xdr:col>
      <xdr:colOff>171450</xdr:colOff>
      <xdr:row>54</xdr:row>
      <xdr:rowOff>133350</xdr:rowOff>
    </xdr:to>
    <xdr:pic>
      <xdr:nvPicPr>
        <xdr:cNvPr id="58" name="CheckBox51"/>
        <xdr:cNvPicPr preferRelativeResize="1">
          <a:picLocks noChangeAspect="1"/>
        </xdr:cNvPicPr>
      </xdr:nvPicPr>
      <xdr:blipFill>
        <a:blip r:embed="rId5"/>
        <a:stretch>
          <a:fillRect/>
        </a:stretch>
      </xdr:blipFill>
      <xdr:spPr>
        <a:xfrm>
          <a:off x="6867525" y="10001250"/>
          <a:ext cx="133350" cy="1238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161925</xdr:colOff>
      <xdr:row>1</xdr:row>
      <xdr:rowOff>76200</xdr:rowOff>
    </xdr:from>
    <xdr:to>
      <xdr:col>4</xdr:col>
      <xdr:colOff>1276350</xdr:colOff>
      <xdr:row>2</xdr:row>
      <xdr:rowOff>114300</xdr:rowOff>
    </xdr:to>
    <xdr:pic>
      <xdr:nvPicPr>
        <xdr:cNvPr id="1" name="CommandButton1"/>
        <xdr:cNvPicPr preferRelativeResize="1">
          <a:picLocks noChangeAspect="1"/>
        </xdr:cNvPicPr>
      </xdr:nvPicPr>
      <xdr:blipFill>
        <a:blip r:embed="rId1"/>
        <a:stretch>
          <a:fillRect/>
        </a:stretch>
      </xdr:blipFill>
      <xdr:spPr>
        <a:xfrm>
          <a:off x="3638550" y="1343025"/>
          <a:ext cx="1114425" cy="342900"/>
        </a:xfrm>
        <a:prstGeom prst="rect">
          <a:avLst/>
        </a:prstGeom>
        <a:noFill/>
        <a:ln w="9525" cmpd="sng">
          <a:noFill/>
        </a:ln>
      </xdr:spPr>
    </xdr:pic>
    <xdr:clientData fPrintsWithSheet="0"/>
  </xdr:twoCellAnchor>
  <xdr:twoCellAnchor editAs="oneCell">
    <xdr:from>
      <xdr:col>1</xdr:col>
      <xdr:colOff>0</xdr:colOff>
      <xdr:row>22</xdr:row>
      <xdr:rowOff>142875</xdr:rowOff>
    </xdr:from>
    <xdr:to>
      <xdr:col>1</xdr:col>
      <xdr:colOff>466725</xdr:colOff>
      <xdr:row>23</xdr:row>
      <xdr:rowOff>152400</xdr:rowOff>
    </xdr:to>
    <xdr:pic>
      <xdr:nvPicPr>
        <xdr:cNvPr id="2" name="ComboBox2"/>
        <xdr:cNvPicPr preferRelativeResize="1">
          <a:picLocks noChangeAspect="1"/>
        </xdr:cNvPicPr>
      </xdr:nvPicPr>
      <xdr:blipFill>
        <a:blip r:embed="rId2"/>
        <a:stretch>
          <a:fillRect/>
        </a:stretch>
      </xdr:blipFill>
      <xdr:spPr>
        <a:xfrm>
          <a:off x="1981200" y="4953000"/>
          <a:ext cx="466725" cy="171450"/>
        </a:xfrm>
        <a:prstGeom prst="rect">
          <a:avLst/>
        </a:prstGeom>
        <a:noFill/>
        <a:ln w="9525" cmpd="sng">
          <a:noFill/>
        </a:ln>
      </xdr:spPr>
    </xdr:pic>
    <xdr:clientData fPrintsWithSheet="0"/>
  </xdr:twoCellAnchor>
  <xdr:twoCellAnchor editAs="oneCell">
    <xdr:from>
      <xdr:col>1</xdr:col>
      <xdr:colOff>0</xdr:colOff>
      <xdr:row>3</xdr:row>
      <xdr:rowOff>123825</xdr:rowOff>
    </xdr:from>
    <xdr:to>
      <xdr:col>1</xdr:col>
      <xdr:colOff>466725</xdr:colOff>
      <xdr:row>4</xdr:row>
      <xdr:rowOff>142875</xdr:rowOff>
    </xdr:to>
    <xdr:pic>
      <xdr:nvPicPr>
        <xdr:cNvPr id="3" name="ComboBox4"/>
        <xdr:cNvPicPr preferRelativeResize="1">
          <a:picLocks noChangeAspect="1"/>
        </xdr:cNvPicPr>
      </xdr:nvPicPr>
      <xdr:blipFill>
        <a:blip r:embed="rId3"/>
        <a:stretch>
          <a:fillRect/>
        </a:stretch>
      </xdr:blipFill>
      <xdr:spPr>
        <a:xfrm>
          <a:off x="1981200" y="1857375"/>
          <a:ext cx="466725" cy="180975"/>
        </a:xfrm>
        <a:prstGeom prst="rect">
          <a:avLst/>
        </a:prstGeom>
        <a:noFill/>
        <a:ln w="9525" cmpd="sng">
          <a:noFill/>
        </a:ln>
      </xdr:spPr>
    </xdr:pic>
    <xdr:clientData fPrintsWithSheet="0"/>
  </xdr:twoCellAnchor>
  <xdr:twoCellAnchor editAs="oneCell">
    <xdr:from>
      <xdr:col>2</xdr:col>
      <xdr:colOff>876300</xdr:colOff>
      <xdr:row>7</xdr:row>
      <xdr:rowOff>28575</xdr:rowOff>
    </xdr:from>
    <xdr:to>
      <xdr:col>4</xdr:col>
      <xdr:colOff>9525</xdr:colOff>
      <xdr:row>7</xdr:row>
      <xdr:rowOff>152400</xdr:rowOff>
    </xdr:to>
    <xdr:pic>
      <xdr:nvPicPr>
        <xdr:cNvPr id="4" name="CheckBox1"/>
        <xdr:cNvPicPr preferRelativeResize="1">
          <a:picLocks noChangeAspect="1"/>
        </xdr:cNvPicPr>
      </xdr:nvPicPr>
      <xdr:blipFill>
        <a:blip r:embed="rId4"/>
        <a:stretch>
          <a:fillRect/>
        </a:stretch>
      </xdr:blipFill>
      <xdr:spPr>
        <a:xfrm>
          <a:off x="3352800" y="2409825"/>
          <a:ext cx="133350" cy="123825"/>
        </a:xfrm>
        <a:prstGeom prst="rect">
          <a:avLst/>
        </a:prstGeom>
        <a:noFill/>
        <a:ln w="9525" cmpd="sng">
          <a:noFill/>
        </a:ln>
      </xdr:spPr>
    </xdr:pic>
    <xdr:clientData fPrintsWithSheet="0"/>
  </xdr:twoCellAnchor>
  <xdr:twoCellAnchor editAs="oneCell">
    <xdr:from>
      <xdr:col>2</xdr:col>
      <xdr:colOff>876300</xdr:colOff>
      <xdr:row>8</xdr:row>
      <xdr:rowOff>9525</xdr:rowOff>
    </xdr:from>
    <xdr:to>
      <xdr:col>4</xdr:col>
      <xdr:colOff>9525</xdr:colOff>
      <xdr:row>8</xdr:row>
      <xdr:rowOff>133350</xdr:rowOff>
    </xdr:to>
    <xdr:pic>
      <xdr:nvPicPr>
        <xdr:cNvPr id="5" name="CheckBox2"/>
        <xdr:cNvPicPr preferRelativeResize="1">
          <a:picLocks noChangeAspect="1"/>
        </xdr:cNvPicPr>
      </xdr:nvPicPr>
      <xdr:blipFill>
        <a:blip r:embed="rId4"/>
        <a:stretch>
          <a:fillRect/>
        </a:stretch>
      </xdr:blipFill>
      <xdr:spPr>
        <a:xfrm>
          <a:off x="3352800" y="2552700"/>
          <a:ext cx="133350" cy="123825"/>
        </a:xfrm>
        <a:prstGeom prst="rect">
          <a:avLst/>
        </a:prstGeom>
        <a:noFill/>
        <a:ln w="9525" cmpd="sng">
          <a:noFill/>
        </a:ln>
      </xdr:spPr>
    </xdr:pic>
    <xdr:clientData fPrintsWithSheet="0"/>
  </xdr:twoCellAnchor>
  <xdr:twoCellAnchor editAs="oneCell">
    <xdr:from>
      <xdr:col>2</xdr:col>
      <xdr:colOff>876300</xdr:colOff>
      <xdr:row>9</xdr:row>
      <xdr:rowOff>28575</xdr:rowOff>
    </xdr:from>
    <xdr:to>
      <xdr:col>4</xdr:col>
      <xdr:colOff>9525</xdr:colOff>
      <xdr:row>9</xdr:row>
      <xdr:rowOff>152400</xdr:rowOff>
    </xdr:to>
    <xdr:pic>
      <xdr:nvPicPr>
        <xdr:cNvPr id="6" name="CheckBox3"/>
        <xdr:cNvPicPr preferRelativeResize="1">
          <a:picLocks noChangeAspect="1"/>
        </xdr:cNvPicPr>
      </xdr:nvPicPr>
      <xdr:blipFill>
        <a:blip r:embed="rId4"/>
        <a:stretch>
          <a:fillRect/>
        </a:stretch>
      </xdr:blipFill>
      <xdr:spPr>
        <a:xfrm>
          <a:off x="3352800" y="2733675"/>
          <a:ext cx="133350" cy="123825"/>
        </a:xfrm>
        <a:prstGeom prst="rect">
          <a:avLst/>
        </a:prstGeom>
        <a:noFill/>
        <a:ln w="9525" cmpd="sng">
          <a:noFill/>
        </a:ln>
      </xdr:spPr>
    </xdr:pic>
    <xdr:clientData fPrintsWithSheet="0"/>
  </xdr:twoCellAnchor>
  <xdr:twoCellAnchor editAs="oneCell">
    <xdr:from>
      <xdr:col>2</xdr:col>
      <xdr:colOff>876300</xdr:colOff>
      <xdr:row>11</xdr:row>
      <xdr:rowOff>28575</xdr:rowOff>
    </xdr:from>
    <xdr:to>
      <xdr:col>4</xdr:col>
      <xdr:colOff>9525</xdr:colOff>
      <xdr:row>11</xdr:row>
      <xdr:rowOff>152400</xdr:rowOff>
    </xdr:to>
    <xdr:pic>
      <xdr:nvPicPr>
        <xdr:cNvPr id="7" name="CheckBox5"/>
        <xdr:cNvPicPr preferRelativeResize="1">
          <a:picLocks noChangeAspect="1"/>
        </xdr:cNvPicPr>
      </xdr:nvPicPr>
      <xdr:blipFill>
        <a:blip r:embed="rId4"/>
        <a:stretch>
          <a:fillRect/>
        </a:stretch>
      </xdr:blipFill>
      <xdr:spPr>
        <a:xfrm>
          <a:off x="3352800" y="3057525"/>
          <a:ext cx="133350" cy="123825"/>
        </a:xfrm>
        <a:prstGeom prst="rect">
          <a:avLst/>
        </a:prstGeom>
        <a:noFill/>
        <a:ln w="9525" cmpd="sng">
          <a:noFill/>
        </a:ln>
      </xdr:spPr>
    </xdr:pic>
    <xdr:clientData fPrintsWithSheet="0"/>
  </xdr:twoCellAnchor>
  <xdr:twoCellAnchor editAs="oneCell">
    <xdr:from>
      <xdr:col>2</xdr:col>
      <xdr:colOff>876300</xdr:colOff>
      <xdr:row>12</xdr:row>
      <xdr:rowOff>28575</xdr:rowOff>
    </xdr:from>
    <xdr:to>
      <xdr:col>4</xdr:col>
      <xdr:colOff>9525</xdr:colOff>
      <xdr:row>12</xdr:row>
      <xdr:rowOff>152400</xdr:rowOff>
    </xdr:to>
    <xdr:pic>
      <xdr:nvPicPr>
        <xdr:cNvPr id="8" name="CheckBox6"/>
        <xdr:cNvPicPr preferRelativeResize="1">
          <a:picLocks noChangeAspect="1"/>
        </xdr:cNvPicPr>
      </xdr:nvPicPr>
      <xdr:blipFill>
        <a:blip r:embed="rId5"/>
        <a:stretch>
          <a:fillRect/>
        </a:stretch>
      </xdr:blipFill>
      <xdr:spPr>
        <a:xfrm>
          <a:off x="3352800" y="3219450"/>
          <a:ext cx="133350" cy="123825"/>
        </a:xfrm>
        <a:prstGeom prst="rect">
          <a:avLst/>
        </a:prstGeom>
        <a:noFill/>
        <a:ln w="9525" cmpd="sng">
          <a:noFill/>
        </a:ln>
      </xdr:spPr>
    </xdr:pic>
    <xdr:clientData fPrintsWithSheet="0"/>
  </xdr:twoCellAnchor>
  <xdr:twoCellAnchor editAs="oneCell">
    <xdr:from>
      <xdr:col>2</xdr:col>
      <xdr:colOff>876300</xdr:colOff>
      <xdr:row>13</xdr:row>
      <xdr:rowOff>28575</xdr:rowOff>
    </xdr:from>
    <xdr:to>
      <xdr:col>4</xdr:col>
      <xdr:colOff>9525</xdr:colOff>
      <xdr:row>13</xdr:row>
      <xdr:rowOff>152400</xdr:rowOff>
    </xdr:to>
    <xdr:pic>
      <xdr:nvPicPr>
        <xdr:cNvPr id="9" name="CheckBox7"/>
        <xdr:cNvPicPr preferRelativeResize="1">
          <a:picLocks noChangeAspect="1"/>
        </xdr:cNvPicPr>
      </xdr:nvPicPr>
      <xdr:blipFill>
        <a:blip r:embed="rId5"/>
        <a:stretch>
          <a:fillRect/>
        </a:stretch>
      </xdr:blipFill>
      <xdr:spPr>
        <a:xfrm>
          <a:off x="3352800" y="3381375"/>
          <a:ext cx="133350" cy="123825"/>
        </a:xfrm>
        <a:prstGeom prst="rect">
          <a:avLst/>
        </a:prstGeom>
        <a:noFill/>
        <a:ln w="9525" cmpd="sng">
          <a:noFill/>
        </a:ln>
      </xdr:spPr>
    </xdr:pic>
    <xdr:clientData fPrintsWithSheet="0"/>
  </xdr:twoCellAnchor>
  <xdr:twoCellAnchor editAs="oneCell">
    <xdr:from>
      <xdr:col>2</xdr:col>
      <xdr:colOff>876300</xdr:colOff>
      <xdr:row>14</xdr:row>
      <xdr:rowOff>28575</xdr:rowOff>
    </xdr:from>
    <xdr:to>
      <xdr:col>4</xdr:col>
      <xdr:colOff>9525</xdr:colOff>
      <xdr:row>14</xdr:row>
      <xdr:rowOff>152400</xdr:rowOff>
    </xdr:to>
    <xdr:pic>
      <xdr:nvPicPr>
        <xdr:cNvPr id="10" name="CheckBox8"/>
        <xdr:cNvPicPr preferRelativeResize="1">
          <a:picLocks noChangeAspect="1"/>
        </xdr:cNvPicPr>
      </xdr:nvPicPr>
      <xdr:blipFill>
        <a:blip r:embed="rId5"/>
        <a:stretch>
          <a:fillRect/>
        </a:stretch>
      </xdr:blipFill>
      <xdr:spPr>
        <a:xfrm>
          <a:off x="3352800" y="3543300"/>
          <a:ext cx="133350" cy="123825"/>
        </a:xfrm>
        <a:prstGeom prst="rect">
          <a:avLst/>
        </a:prstGeom>
        <a:noFill/>
        <a:ln w="9525" cmpd="sng">
          <a:noFill/>
        </a:ln>
      </xdr:spPr>
    </xdr:pic>
    <xdr:clientData fPrintsWithSheet="0"/>
  </xdr:twoCellAnchor>
  <xdr:twoCellAnchor editAs="oneCell">
    <xdr:from>
      <xdr:col>2</xdr:col>
      <xdr:colOff>876300</xdr:colOff>
      <xdr:row>15</xdr:row>
      <xdr:rowOff>28575</xdr:rowOff>
    </xdr:from>
    <xdr:to>
      <xdr:col>4</xdr:col>
      <xdr:colOff>9525</xdr:colOff>
      <xdr:row>15</xdr:row>
      <xdr:rowOff>152400</xdr:rowOff>
    </xdr:to>
    <xdr:pic>
      <xdr:nvPicPr>
        <xdr:cNvPr id="11" name="CheckBox9"/>
        <xdr:cNvPicPr preferRelativeResize="1">
          <a:picLocks noChangeAspect="1"/>
        </xdr:cNvPicPr>
      </xdr:nvPicPr>
      <xdr:blipFill>
        <a:blip r:embed="rId5"/>
        <a:stretch>
          <a:fillRect/>
        </a:stretch>
      </xdr:blipFill>
      <xdr:spPr>
        <a:xfrm>
          <a:off x="3352800" y="3705225"/>
          <a:ext cx="133350" cy="123825"/>
        </a:xfrm>
        <a:prstGeom prst="rect">
          <a:avLst/>
        </a:prstGeom>
        <a:noFill/>
        <a:ln w="9525" cmpd="sng">
          <a:noFill/>
        </a:ln>
      </xdr:spPr>
    </xdr:pic>
    <xdr:clientData fPrintsWithSheet="0"/>
  </xdr:twoCellAnchor>
  <xdr:twoCellAnchor editAs="oneCell">
    <xdr:from>
      <xdr:col>2</xdr:col>
      <xdr:colOff>876300</xdr:colOff>
      <xdr:row>16</xdr:row>
      <xdr:rowOff>28575</xdr:rowOff>
    </xdr:from>
    <xdr:to>
      <xdr:col>4</xdr:col>
      <xdr:colOff>9525</xdr:colOff>
      <xdr:row>16</xdr:row>
      <xdr:rowOff>152400</xdr:rowOff>
    </xdr:to>
    <xdr:pic>
      <xdr:nvPicPr>
        <xdr:cNvPr id="12" name="CheckBox10"/>
        <xdr:cNvPicPr preferRelativeResize="1">
          <a:picLocks noChangeAspect="1"/>
        </xdr:cNvPicPr>
      </xdr:nvPicPr>
      <xdr:blipFill>
        <a:blip r:embed="rId4"/>
        <a:stretch>
          <a:fillRect/>
        </a:stretch>
      </xdr:blipFill>
      <xdr:spPr>
        <a:xfrm>
          <a:off x="3352800" y="3867150"/>
          <a:ext cx="133350" cy="123825"/>
        </a:xfrm>
        <a:prstGeom prst="rect">
          <a:avLst/>
        </a:prstGeom>
        <a:noFill/>
        <a:ln w="9525" cmpd="sng">
          <a:noFill/>
        </a:ln>
      </xdr:spPr>
    </xdr:pic>
    <xdr:clientData fPrintsWithSheet="0"/>
  </xdr:twoCellAnchor>
  <xdr:twoCellAnchor editAs="oneCell">
    <xdr:from>
      <xdr:col>2</xdr:col>
      <xdr:colOff>876300</xdr:colOff>
      <xdr:row>10</xdr:row>
      <xdr:rowOff>28575</xdr:rowOff>
    </xdr:from>
    <xdr:to>
      <xdr:col>4</xdr:col>
      <xdr:colOff>9525</xdr:colOff>
      <xdr:row>10</xdr:row>
      <xdr:rowOff>152400</xdr:rowOff>
    </xdr:to>
    <xdr:pic>
      <xdr:nvPicPr>
        <xdr:cNvPr id="13" name="CheckBox11"/>
        <xdr:cNvPicPr preferRelativeResize="1">
          <a:picLocks noChangeAspect="1"/>
        </xdr:cNvPicPr>
      </xdr:nvPicPr>
      <xdr:blipFill>
        <a:blip r:embed="rId5"/>
        <a:stretch>
          <a:fillRect/>
        </a:stretch>
      </xdr:blipFill>
      <xdr:spPr>
        <a:xfrm>
          <a:off x="3352800" y="2895600"/>
          <a:ext cx="133350" cy="123825"/>
        </a:xfrm>
        <a:prstGeom prst="rect">
          <a:avLst/>
        </a:prstGeom>
        <a:noFill/>
        <a:ln w="9525" cmpd="sng">
          <a:noFill/>
        </a:ln>
      </xdr:spPr>
    </xdr:pic>
    <xdr:clientData fPrintsWithSheet="0"/>
  </xdr:twoCellAnchor>
  <xdr:twoCellAnchor editAs="oneCell">
    <xdr:from>
      <xdr:col>7</xdr:col>
      <xdr:colOff>0</xdr:colOff>
      <xdr:row>10</xdr:row>
      <xdr:rowOff>28575</xdr:rowOff>
    </xdr:from>
    <xdr:to>
      <xdr:col>7</xdr:col>
      <xdr:colOff>133350</xdr:colOff>
      <xdr:row>10</xdr:row>
      <xdr:rowOff>152400</xdr:rowOff>
    </xdr:to>
    <xdr:pic>
      <xdr:nvPicPr>
        <xdr:cNvPr id="14" name="CheckBox4"/>
        <xdr:cNvPicPr preferRelativeResize="1">
          <a:picLocks noChangeAspect="1"/>
        </xdr:cNvPicPr>
      </xdr:nvPicPr>
      <xdr:blipFill>
        <a:blip r:embed="rId4"/>
        <a:stretch>
          <a:fillRect/>
        </a:stretch>
      </xdr:blipFill>
      <xdr:spPr>
        <a:xfrm>
          <a:off x="6829425" y="2895600"/>
          <a:ext cx="133350" cy="123825"/>
        </a:xfrm>
        <a:prstGeom prst="rect">
          <a:avLst/>
        </a:prstGeom>
        <a:noFill/>
        <a:ln w="9525" cmpd="sng">
          <a:noFill/>
        </a:ln>
      </xdr:spPr>
    </xdr:pic>
    <xdr:clientData fPrintsWithSheet="0"/>
  </xdr:twoCellAnchor>
  <xdr:twoCellAnchor editAs="oneCell">
    <xdr:from>
      <xdr:col>7</xdr:col>
      <xdr:colOff>0</xdr:colOff>
      <xdr:row>11</xdr:row>
      <xdr:rowOff>28575</xdr:rowOff>
    </xdr:from>
    <xdr:to>
      <xdr:col>7</xdr:col>
      <xdr:colOff>133350</xdr:colOff>
      <xdr:row>11</xdr:row>
      <xdr:rowOff>152400</xdr:rowOff>
    </xdr:to>
    <xdr:pic>
      <xdr:nvPicPr>
        <xdr:cNvPr id="15" name="CheckBox12"/>
        <xdr:cNvPicPr preferRelativeResize="1">
          <a:picLocks noChangeAspect="1"/>
        </xdr:cNvPicPr>
      </xdr:nvPicPr>
      <xdr:blipFill>
        <a:blip r:embed="rId4"/>
        <a:stretch>
          <a:fillRect/>
        </a:stretch>
      </xdr:blipFill>
      <xdr:spPr>
        <a:xfrm>
          <a:off x="6829425" y="3057525"/>
          <a:ext cx="133350" cy="123825"/>
        </a:xfrm>
        <a:prstGeom prst="rect">
          <a:avLst/>
        </a:prstGeom>
        <a:noFill/>
        <a:ln w="9525" cmpd="sng">
          <a:noFill/>
        </a:ln>
      </xdr:spPr>
    </xdr:pic>
    <xdr:clientData fPrintsWithSheet="0"/>
  </xdr:twoCellAnchor>
  <xdr:twoCellAnchor editAs="oneCell">
    <xdr:from>
      <xdr:col>7</xdr:col>
      <xdr:colOff>0</xdr:colOff>
      <xdr:row>7</xdr:row>
      <xdr:rowOff>28575</xdr:rowOff>
    </xdr:from>
    <xdr:to>
      <xdr:col>7</xdr:col>
      <xdr:colOff>133350</xdr:colOff>
      <xdr:row>7</xdr:row>
      <xdr:rowOff>152400</xdr:rowOff>
    </xdr:to>
    <xdr:pic>
      <xdr:nvPicPr>
        <xdr:cNvPr id="16" name="CheckBox13"/>
        <xdr:cNvPicPr preferRelativeResize="1">
          <a:picLocks noChangeAspect="1"/>
        </xdr:cNvPicPr>
      </xdr:nvPicPr>
      <xdr:blipFill>
        <a:blip r:embed="rId4"/>
        <a:stretch>
          <a:fillRect/>
        </a:stretch>
      </xdr:blipFill>
      <xdr:spPr>
        <a:xfrm>
          <a:off x="6829425" y="2409825"/>
          <a:ext cx="133350" cy="123825"/>
        </a:xfrm>
        <a:prstGeom prst="rect">
          <a:avLst/>
        </a:prstGeom>
        <a:noFill/>
        <a:ln w="9525" cmpd="sng">
          <a:noFill/>
        </a:ln>
      </xdr:spPr>
    </xdr:pic>
    <xdr:clientData fPrintsWithSheet="0"/>
  </xdr:twoCellAnchor>
  <xdr:twoCellAnchor editAs="oneCell">
    <xdr:from>
      <xdr:col>7</xdr:col>
      <xdr:colOff>0</xdr:colOff>
      <xdr:row>8</xdr:row>
      <xdr:rowOff>28575</xdr:rowOff>
    </xdr:from>
    <xdr:to>
      <xdr:col>7</xdr:col>
      <xdr:colOff>133350</xdr:colOff>
      <xdr:row>8</xdr:row>
      <xdr:rowOff>152400</xdr:rowOff>
    </xdr:to>
    <xdr:pic>
      <xdr:nvPicPr>
        <xdr:cNvPr id="17" name="CheckBox14"/>
        <xdr:cNvPicPr preferRelativeResize="1">
          <a:picLocks noChangeAspect="1"/>
        </xdr:cNvPicPr>
      </xdr:nvPicPr>
      <xdr:blipFill>
        <a:blip r:embed="rId4"/>
        <a:stretch>
          <a:fillRect/>
        </a:stretch>
      </xdr:blipFill>
      <xdr:spPr>
        <a:xfrm>
          <a:off x="6829425" y="2571750"/>
          <a:ext cx="133350" cy="123825"/>
        </a:xfrm>
        <a:prstGeom prst="rect">
          <a:avLst/>
        </a:prstGeom>
        <a:noFill/>
        <a:ln w="9525" cmpd="sng">
          <a:noFill/>
        </a:ln>
      </xdr:spPr>
    </xdr:pic>
    <xdr:clientData fPrintsWithSheet="0"/>
  </xdr:twoCellAnchor>
  <xdr:twoCellAnchor editAs="oneCell">
    <xdr:from>
      <xdr:col>7</xdr:col>
      <xdr:colOff>0</xdr:colOff>
      <xdr:row>9</xdr:row>
      <xdr:rowOff>28575</xdr:rowOff>
    </xdr:from>
    <xdr:to>
      <xdr:col>7</xdr:col>
      <xdr:colOff>133350</xdr:colOff>
      <xdr:row>9</xdr:row>
      <xdr:rowOff>152400</xdr:rowOff>
    </xdr:to>
    <xdr:pic>
      <xdr:nvPicPr>
        <xdr:cNvPr id="18" name="CheckBox15"/>
        <xdr:cNvPicPr preferRelativeResize="1">
          <a:picLocks noChangeAspect="1"/>
        </xdr:cNvPicPr>
      </xdr:nvPicPr>
      <xdr:blipFill>
        <a:blip r:embed="rId4"/>
        <a:stretch>
          <a:fillRect/>
        </a:stretch>
      </xdr:blipFill>
      <xdr:spPr>
        <a:xfrm>
          <a:off x="6829425" y="2733675"/>
          <a:ext cx="133350" cy="123825"/>
        </a:xfrm>
        <a:prstGeom prst="rect">
          <a:avLst/>
        </a:prstGeom>
        <a:noFill/>
        <a:ln w="9525" cmpd="sng">
          <a:noFill/>
        </a:ln>
      </xdr:spPr>
    </xdr:pic>
    <xdr:clientData fPrintsWithSheet="0"/>
  </xdr:twoCellAnchor>
  <xdr:twoCellAnchor editAs="oneCell">
    <xdr:from>
      <xdr:col>2</xdr:col>
      <xdr:colOff>857250</xdr:colOff>
      <xdr:row>27</xdr:row>
      <xdr:rowOff>28575</xdr:rowOff>
    </xdr:from>
    <xdr:to>
      <xdr:col>3</xdr:col>
      <xdr:colOff>104775</xdr:colOff>
      <xdr:row>27</xdr:row>
      <xdr:rowOff>152400</xdr:rowOff>
    </xdr:to>
    <xdr:pic>
      <xdr:nvPicPr>
        <xdr:cNvPr id="19" name="CheckBox22"/>
        <xdr:cNvPicPr preferRelativeResize="1">
          <a:picLocks noChangeAspect="1"/>
        </xdr:cNvPicPr>
      </xdr:nvPicPr>
      <xdr:blipFill>
        <a:blip r:embed="rId5"/>
        <a:stretch>
          <a:fillRect/>
        </a:stretch>
      </xdr:blipFill>
      <xdr:spPr>
        <a:xfrm>
          <a:off x="3333750" y="5648325"/>
          <a:ext cx="133350" cy="123825"/>
        </a:xfrm>
        <a:prstGeom prst="rect">
          <a:avLst/>
        </a:prstGeom>
        <a:noFill/>
        <a:ln w="9525" cmpd="sng">
          <a:noFill/>
        </a:ln>
      </xdr:spPr>
    </xdr:pic>
    <xdr:clientData fPrintsWithSheet="0"/>
  </xdr:twoCellAnchor>
  <xdr:twoCellAnchor editAs="oneCell">
    <xdr:from>
      <xdr:col>2</xdr:col>
      <xdr:colOff>866775</xdr:colOff>
      <xdr:row>28</xdr:row>
      <xdr:rowOff>47625</xdr:rowOff>
    </xdr:from>
    <xdr:to>
      <xdr:col>4</xdr:col>
      <xdr:colOff>0</xdr:colOff>
      <xdr:row>29</xdr:row>
      <xdr:rowOff>9525</xdr:rowOff>
    </xdr:to>
    <xdr:pic>
      <xdr:nvPicPr>
        <xdr:cNvPr id="20" name="CheckBox23"/>
        <xdr:cNvPicPr preferRelativeResize="1">
          <a:picLocks noChangeAspect="1"/>
        </xdr:cNvPicPr>
      </xdr:nvPicPr>
      <xdr:blipFill>
        <a:blip r:embed="rId4"/>
        <a:stretch>
          <a:fillRect/>
        </a:stretch>
      </xdr:blipFill>
      <xdr:spPr>
        <a:xfrm>
          <a:off x="3343275" y="5829300"/>
          <a:ext cx="133350" cy="123825"/>
        </a:xfrm>
        <a:prstGeom prst="rect">
          <a:avLst/>
        </a:prstGeom>
        <a:noFill/>
        <a:ln w="9525" cmpd="sng">
          <a:noFill/>
        </a:ln>
      </xdr:spPr>
    </xdr:pic>
    <xdr:clientData fPrintsWithSheet="0"/>
  </xdr:twoCellAnchor>
  <xdr:twoCellAnchor editAs="oneCell">
    <xdr:from>
      <xdr:col>2</xdr:col>
      <xdr:colOff>866775</xdr:colOff>
      <xdr:row>29</xdr:row>
      <xdr:rowOff>9525</xdr:rowOff>
    </xdr:from>
    <xdr:to>
      <xdr:col>4</xdr:col>
      <xdr:colOff>0</xdr:colOff>
      <xdr:row>29</xdr:row>
      <xdr:rowOff>133350</xdr:rowOff>
    </xdr:to>
    <xdr:pic>
      <xdr:nvPicPr>
        <xdr:cNvPr id="21" name="CheckBox24"/>
        <xdr:cNvPicPr preferRelativeResize="1">
          <a:picLocks noChangeAspect="1"/>
        </xdr:cNvPicPr>
      </xdr:nvPicPr>
      <xdr:blipFill>
        <a:blip r:embed="rId5"/>
        <a:stretch>
          <a:fillRect/>
        </a:stretch>
      </xdr:blipFill>
      <xdr:spPr>
        <a:xfrm>
          <a:off x="3343275" y="5953125"/>
          <a:ext cx="133350" cy="123825"/>
        </a:xfrm>
        <a:prstGeom prst="rect">
          <a:avLst/>
        </a:prstGeom>
        <a:noFill/>
        <a:ln w="9525" cmpd="sng">
          <a:noFill/>
        </a:ln>
      </xdr:spPr>
    </xdr:pic>
    <xdr:clientData fPrintsWithSheet="0"/>
  </xdr:twoCellAnchor>
  <xdr:twoCellAnchor editAs="oneCell">
    <xdr:from>
      <xdr:col>2</xdr:col>
      <xdr:colOff>876300</xdr:colOff>
      <xdr:row>30</xdr:row>
      <xdr:rowOff>9525</xdr:rowOff>
    </xdr:from>
    <xdr:to>
      <xdr:col>4</xdr:col>
      <xdr:colOff>9525</xdr:colOff>
      <xdr:row>30</xdr:row>
      <xdr:rowOff>123825</xdr:rowOff>
    </xdr:to>
    <xdr:pic>
      <xdr:nvPicPr>
        <xdr:cNvPr id="22" name="CheckBox25"/>
        <xdr:cNvPicPr preferRelativeResize="1">
          <a:picLocks noChangeAspect="1"/>
        </xdr:cNvPicPr>
      </xdr:nvPicPr>
      <xdr:blipFill>
        <a:blip r:embed="rId4"/>
        <a:stretch>
          <a:fillRect/>
        </a:stretch>
      </xdr:blipFill>
      <xdr:spPr>
        <a:xfrm>
          <a:off x="3352800" y="6115050"/>
          <a:ext cx="133350" cy="114300"/>
        </a:xfrm>
        <a:prstGeom prst="rect">
          <a:avLst/>
        </a:prstGeom>
        <a:noFill/>
        <a:ln w="9525" cmpd="sng">
          <a:noFill/>
        </a:ln>
      </xdr:spPr>
    </xdr:pic>
    <xdr:clientData fPrintsWithSheet="0"/>
  </xdr:twoCellAnchor>
  <xdr:twoCellAnchor editAs="oneCell">
    <xdr:from>
      <xdr:col>3</xdr:col>
      <xdr:colOff>0</xdr:colOff>
      <xdr:row>31</xdr:row>
      <xdr:rowOff>28575</xdr:rowOff>
    </xdr:from>
    <xdr:to>
      <xdr:col>4</xdr:col>
      <xdr:colOff>19050</xdr:colOff>
      <xdr:row>31</xdr:row>
      <xdr:rowOff>152400</xdr:rowOff>
    </xdr:to>
    <xdr:pic>
      <xdr:nvPicPr>
        <xdr:cNvPr id="23" name="CheckBox26"/>
        <xdr:cNvPicPr preferRelativeResize="1">
          <a:picLocks noChangeAspect="1"/>
        </xdr:cNvPicPr>
      </xdr:nvPicPr>
      <xdr:blipFill>
        <a:blip r:embed="rId4"/>
        <a:stretch>
          <a:fillRect/>
        </a:stretch>
      </xdr:blipFill>
      <xdr:spPr>
        <a:xfrm>
          <a:off x="3362325" y="6296025"/>
          <a:ext cx="133350" cy="123825"/>
        </a:xfrm>
        <a:prstGeom prst="rect">
          <a:avLst/>
        </a:prstGeom>
        <a:noFill/>
        <a:ln w="9525" cmpd="sng">
          <a:noFill/>
        </a:ln>
      </xdr:spPr>
    </xdr:pic>
    <xdr:clientData fPrintsWithSheet="0"/>
  </xdr:twoCellAnchor>
  <xdr:twoCellAnchor editAs="oneCell">
    <xdr:from>
      <xdr:col>3</xdr:col>
      <xdr:colOff>0</xdr:colOff>
      <xdr:row>32</xdr:row>
      <xdr:rowOff>9525</xdr:rowOff>
    </xdr:from>
    <xdr:to>
      <xdr:col>4</xdr:col>
      <xdr:colOff>19050</xdr:colOff>
      <xdr:row>32</xdr:row>
      <xdr:rowOff>133350</xdr:rowOff>
    </xdr:to>
    <xdr:pic>
      <xdr:nvPicPr>
        <xdr:cNvPr id="24" name="CheckBox27"/>
        <xdr:cNvPicPr preferRelativeResize="1">
          <a:picLocks noChangeAspect="1"/>
        </xdr:cNvPicPr>
      </xdr:nvPicPr>
      <xdr:blipFill>
        <a:blip r:embed="rId4"/>
        <a:stretch>
          <a:fillRect/>
        </a:stretch>
      </xdr:blipFill>
      <xdr:spPr>
        <a:xfrm>
          <a:off x="3362325" y="6438900"/>
          <a:ext cx="133350" cy="123825"/>
        </a:xfrm>
        <a:prstGeom prst="rect">
          <a:avLst/>
        </a:prstGeom>
        <a:noFill/>
        <a:ln w="9525" cmpd="sng">
          <a:noFill/>
        </a:ln>
      </xdr:spPr>
    </xdr:pic>
    <xdr:clientData fPrintsWithSheet="0"/>
  </xdr:twoCellAnchor>
  <xdr:twoCellAnchor editAs="oneCell">
    <xdr:from>
      <xdr:col>2</xdr:col>
      <xdr:colOff>857250</xdr:colOff>
      <xdr:row>33</xdr:row>
      <xdr:rowOff>0</xdr:rowOff>
    </xdr:from>
    <xdr:to>
      <xdr:col>3</xdr:col>
      <xdr:colOff>104775</xdr:colOff>
      <xdr:row>33</xdr:row>
      <xdr:rowOff>123825</xdr:rowOff>
    </xdr:to>
    <xdr:pic>
      <xdr:nvPicPr>
        <xdr:cNvPr id="25" name="CheckBox28"/>
        <xdr:cNvPicPr preferRelativeResize="1">
          <a:picLocks noChangeAspect="1"/>
        </xdr:cNvPicPr>
      </xdr:nvPicPr>
      <xdr:blipFill>
        <a:blip r:embed="rId4"/>
        <a:stretch>
          <a:fillRect/>
        </a:stretch>
      </xdr:blipFill>
      <xdr:spPr>
        <a:xfrm>
          <a:off x="3333750" y="6591300"/>
          <a:ext cx="133350" cy="123825"/>
        </a:xfrm>
        <a:prstGeom prst="rect">
          <a:avLst/>
        </a:prstGeom>
        <a:noFill/>
        <a:ln w="9525" cmpd="sng">
          <a:noFill/>
        </a:ln>
      </xdr:spPr>
    </xdr:pic>
    <xdr:clientData fPrintsWithSheet="0"/>
  </xdr:twoCellAnchor>
  <xdr:twoCellAnchor editAs="oneCell">
    <xdr:from>
      <xdr:col>2</xdr:col>
      <xdr:colOff>866775</xdr:colOff>
      <xdr:row>34</xdr:row>
      <xdr:rowOff>28575</xdr:rowOff>
    </xdr:from>
    <xdr:to>
      <xdr:col>4</xdr:col>
      <xdr:colOff>0</xdr:colOff>
      <xdr:row>34</xdr:row>
      <xdr:rowOff>152400</xdr:rowOff>
    </xdr:to>
    <xdr:pic>
      <xdr:nvPicPr>
        <xdr:cNvPr id="26" name="CheckBox29"/>
        <xdr:cNvPicPr preferRelativeResize="1">
          <a:picLocks noChangeAspect="1"/>
        </xdr:cNvPicPr>
      </xdr:nvPicPr>
      <xdr:blipFill>
        <a:blip r:embed="rId4"/>
        <a:stretch>
          <a:fillRect/>
        </a:stretch>
      </xdr:blipFill>
      <xdr:spPr>
        <a:xfrm>
          <a:off x="3343275" y="6781800"/>
          <a:ext cx="133350" cy="123825"/>
        </a:xfrm>
        <a:prstGeom prst="rect">
          <a:avLst/>
        </a:prstGeom>
        <a:noFill/>
        <a:ln w="9525" cmpd="sng">
          <a:noFill/>
        </a:ln>
      </xdr:spPr>
    </xdr:pic>
    <xdr:clientData fPrintsWithSheet="0"/>
  </xdr:twoCellAnchor>
  <xdr:twoCellAnchor editAs="oneCell">
    <xdr:from>
      <xdr:col>2</xdr:col>
      <xdr:colOff>866775</xdr:colOff>
      <xdr:row>45</xdr:row>
      <xdr:rowOff>9525</xdr:rowOff>
    </xdr:from>
    <xdr:to>
      <xdr:col>4</xdr:col>
      <xdr:colOff>0</xdr:colOff>
      <xdr:row>45</xdr:row>
      <xdr:rowOff>133350</xdr:rowOff>
    </xdr:to>
    <xdr:pic>
      <xdr:nvPicPr>
        <xdr:cNvPr id="27" name="CheckBox30"/>
        <xdr:cNvPicPr preferRelativeResize="1">
          <a:picLocks noChangeAspect="1"/>
        </xdr:cNvPicPr>
      </xdr:nvPicPr>
      <xdr:blipFill>
        <a:blip r:embed="rId5"/>
        <a:stretch>
          <a:fillRect/>
        </a:stretch>
      </xdr:blipFill>
      <xdr:spPr>
        <a:xfrm>
          <a:off x="3343275" y="8543925"/>
          <a:ext cx="133350" cy="123825"/>
        </a:xfrm>
        <a:prstGeom prst="rect">
          <a:avLst/>
        </a:prstGeom>
        <a:noFill/>
        <a:ln w="9525" cmpd="sng">
          <a:noFill/>
        </a:ln>
      </xdr:spPr>
    </xdr:pic>
    <xdr:clientData fPrintsWithSheet="0"/>
  </xdr:twoCellAnchor>
  <xdr:twoCellAnchor editAs="oneCell">
    <xdr:from>
      <xdr:col>2</xdr:col>
      <xdr:colOff>876300</xdr:colOff>
      <xdr:row>46</xdr:row>
      <xdr:rowOff>9525</xdr:rowOff>
    </xdr:from>
    <xdr:to>
      <xdr:col>4</xdr:col>
      <xdr:colOff>9525</xdr:colOff>
      <xdr:row>46</xdr:row>
      <xdr:rowOff>123825</xdr:rowOff>
    </xdr:to>
    <xdr:pic>
      <xdr:nvPicPr>
        <xdr:cNvPr id="28" name="CheckBox31"/>
        <xdr:cNvPicPr preferRelativeResize="1">
          <a:picLocks noChangeAspect="1"/>
        </xdr:cNvPicPr>
      </xdr:nvPicPr>
      <xdr:blipFill>
        <a:blip r:embed="rId5"/>
        <a:stretch>
          <a:fillRect/>
        </a:stretch>
      </xdr:blipFill>
      <xdr:spPr>
        <a:xfrm>
          <a:off x="3352800" y="8705850"/>
          <a:ext cx="133350" cy="114300"/>
        </a:xfrm>
        <a:prstGeom prst="rect">
          <a:avLst/>
        </a:prstGeom>
        <a:noFill/>
        <a:ln w="9525" cmpd="sng">
          <a:noFill/>
        </a:ln>
      </xdr:spPr>
    </xdr:pic>
    <xdr:clientData fPrintsWithSheet="0"/>
  </xdr:twoCellAnchor>
  <xdr:twoCellAnchor editAs="oneCell">
    <xdr:from>
      <xdr:col>2</xdr:col>
      <xdr:colOff>876300</xdr:colOff>
      <xdr:row>47</xdr:row>
      <xdr:rowOff>9525</xdr:rowOff>
    </xdr:from>
    <xdr:to>
      <xdr:col>4</xdr:col>
      <xdr:colOff>9525</xdr:colOff>
      <xdr:row>47</xdr:row>
      <xdr:rowOff>133350</xdr:rowOff>
    </xdr:to>
    <xdr:pic>
      <xdr:nvPicPr>
        <xdr:cNvPr id="29" name="CheckBox32"/>
        <xdr:cNvPicPr preferRelativeResize="1">
          <a:picLocks noChangeAspect="1"/>
        </xdr:cNvPicPr>
      </xdr:nvPicPr>
      <xdr:blipFill>
        <a:blip r:embed="rId4"/>
        <a:stretch>
          <a:fillRect/>
        </a:stretch>
      </xdr:blipFill>
      <xdr:spPr>
        <a:xfrm>
          <a:off x="3352800" y="8867775"/>
          <a:ext cx="133350" cy="123825"/>
        </a:xfrm>
        <a:prstGeom prst="rect">
          <a:avLst/>
        </a:prstGeom>
        <a:noFill/>
        <a:ln w="9525" cmpd="sng">
          <a:noFill/>
        </a:ln>
      </xdr:spPr>
    </xdr:pic>
    <xdr:clientData fPrintsWithSheet="0"/>
  </xdr:twoCellAnchor>
  <xdr:twoCellAnchor editAs="oneCell">
    <xdr:from>
      <xdr:col>2</xdr:col>
      <xdr:colOff>876300</xdr:colOff>
      <xdr:row>48</xdr:row>
      <xdr:rowOff>28575</xdr:rowOff>
    </xdr:from>
    <xdr:to>
      <xdr:col>4</xdr:col>
      <xdr:colOff>9525</xdr:colOff>
      <xdr:row>48</xdr:row>
      <xdr:rowOff>152400</xdr:rowOff>
    </xdr:to>
    <xdr:pic>
      <xdr:nvPicPr>
        <xdr:cNvPr id="30" name="CheckBox33"/>
        <xdr:cNvPicPr preferRelativeResize="1">
          <a:picLocks noChangeAspect="1"/>
        </xdr:cNvPicPr>
      </xdr:nvPicPr>
      <xdr:blipFill>
        <a:blip r:embed="rId4"/>
        <a:stretch>
          <a:fillRect/>
        </a:stretch>
      </xdr:blipFill>
      <xdr:spPr>
        <a:xfrm>
          <a:off x="3352800" y="9048750"/>
          <a:ext cx="133350" cy="123825"/>
        </a:xfrm>
        <a:prstGeom prst="rect">
          <a:avLst/>
        </a:prstGeom>
        <a:noFill/>
        <a:ln w="9525" cmpd="sng">
          <a:noFill/>
        </a:ln>
      </xdr:spPr>
    </xdr:pic>
    <xdr:clientData fPrintsWithSheet="0"/>
  </xdr:twoCellAnchor>
  <xdr:twoCellAnchor editAs="oneCell">
    <xdr:from>
      <xdr:col>2</xdr:col>
      <xdr:colOff>876300</xdr:colOff>
      <xdr:row>49</xdr:row>
      <xdr:rowOff>28575</xdr:rowOff>
    </xdr:from>
    <xdr:to>
      <xdr:col>4</xdr:col>
      <xdr:colOff>9525</xdr:colOff>
      <xdr:row>49</xdr:row>
      <xdr:rowOff>152400</xdr:rowOff>
    </xdr:to>
    <xdr:pic>
      <xdr:nvPicPr>
        <xdr:cNvPr id="31" name="CheckBox34"/>
        <xdr:cNvPicPr preferRelativeResize="1">
          <a:picLocks noChangeAspect="1"/>
        </xdr:cNvPicPr>
      </xdr:nvPicPr>
      <xdr:blipFill>
        <a:blip r:embed="rId4"/>
        <a:stretch>
          <a:fillRect/>
        </a:stretch>
      </xdr:blipFill>
      <xdr:spPr>
        <a:xfrm>
          <a:off x="3352800" y="9210675"/>
          <a:ext cx="133350" cy="123825"/>
        </a:xfrm>
        <a:prstGeom prst="rect">
          <a:avLst/>
        </a:prstGeom>
        <a:noFill/>
        <a:ln w="9525" cmpd="sng">
          <a:noFill/>
        </a:ln>
      </xdr:spPr>
    </xdr:pic>
    <xdr:clientData fPrintsWithSheet="0"/>
  </xdr:twoCellAnchor>
  <xdr:twoCellAnchor editAs="oneCell">
    <xdr:from>
      <xdr:col>1</xdr:col>
      <xdr:colOff>95250</xdr:colOff>
      <xdr:row>42</xdr:row>
      <xdr:rowOff>152400</xdr:rowOff>
    </xdr:from>
    <xdr:to>
      <xdr:col>2</xdr:col>
      <xdr:colOff>66675</xdr:colOff>
      <xdr:row>44</xdr:row>
      <xdr:rowOff>0</xdr:rowOff>
    </xdr:to>
    <xdr:pic>
      <xdr:nvPicPr>
        <xdr:cNvPr id="32" name="ComboBox1"/>
        <xdr:cNvPicPr preferRelativeResize="1">
          <a:picLocks noChangeAspect="1"/>
        </xdr:cNvPicPr>
      </xdr:nvPicPr>
      <xdr:blipFill>
        <a:blip r:embed="rId6"/>
        <a:stretch>
          <a:fillRect/>
        </a:stretch>
      </xdr:blipFill>
      <xdr:spPr>
        <a:xfrm>
          <a:off x="2076450" y="8201025"/>
          <a:ext cx="466725" cy="171450"/>
        </a:xfrm>
        <a:prstGeom prst="rect">
          <a:avLst/>
        </a:prstGeom>
        <a:noFill/>
        <a:ln w="9525" cmpd="sng">
          <a:noFill/>
        </a:ln>
      </xdr:spPr>
    </xdr:pic>
    <xdr:clientData fPrintsWithSheet="0"/>
  </xdr:twoCellAnchor>
  <xdr:twoCellAnchor editAs="oneCell">
    <xdr:from>
      <xdr:col>5</xdr:col>
      <xdr:colOff>0</xdr:colOff>
      <xdr:row>3</xdr:row>
      <xdr:rowOff>142875</xdr:rowOff>
    </xdr:from>
    <xdr:to>
      <xdr:col>5</xdr:col>
      <xdr:colOff>466725</xdr:colOff>
      <xdr:row>4</xdr:row>
      <xdr:rowOff>152400</xdr:rowOff>
    </xdr:to>
    <xdr:pic>
      <xdr:nvPicPr>
        <xdr:cNvPr id="33" name="ComboBox6"/>
        <xdr:cNvPicPr preferRelativeResize="1">
          <a:picLocks noChangeAspect="1"/>
        </xdr:cNvPicPr>
      </xdr:nvPicPr>
      <xdr:blipFill>
        <a:blip r:embed="rId7"/>
        <a:stretch>
          <a:fillRect/>
        </a:stretch>
      </xdr:blipFill>
      <xdr:spPr>
        <a:xfrm>
          <a:off x="5457825" y="1876425"/>
          <a:ext cx="466725" cy="171450"/>
        </a:xfrm>
        <a:prstGeom prst="rect">
          <a:avLst/>
        </a:prstGeom>
        <a:noFill/>
        <a:ln w="9525" cmpd="sng">
          <a:noFill/>
        </a:ln>
      </xdr:spPr>
    </xdr:pic>
    <xdr:clientData fPrintsWithSheet="0"/>
  </xdr:twoCellAnchor>
  <xdr:twoCellAnchor editAs="oneCell">
    <xdr:from>
      <xdr:col>3</xdr:col>
      <xdr:colOff>0</xdr:colOff>
      <xdr:row>26</xdr:row>
      <xdr:rowOff>9525</xdr:rowOff>
    </xdr:from>
    <xdr:to>
      <xdr:col>4</xdr:col>
      <xdr:colOff>19050</xdr:colOff>
      <xdr:row>26</xdr:row>
      <xdr:rowOff>133350</xdr:rowOff>
    </xdr:to>
    <xdr:pic>
      <xdr:nvPicPr>
        <xdr:cNvPr id="34" name="CheckBox16"/>
        <xdr:cNvPicPr preferRelativeResize="1">
          <a:picLocks noChangeAspect="1"/>
        </xdr:cNvPicPr>
      </xdr:nvPicPr>
      <xdr:blipFill>
        <a:blip r:embed="rId5"/>
        <a:stretch>
          <a:fillRect/>
        </a:stretch>
      </xdr:blipFill>
      <xdr:spPr>
        <a:xfrm>
          <a:off x="3362325" y="5467350"/>
          <a:ext cx="133350" cy="123825"/>
        </a:xfrm>
        <a:prstGeom prst="rect">
          <a:avLst/>
        </a:prstGeom>
        <a:noFill/>
        <a:ln w="9525" cmpd="sng">
          <a:noFill/>
        </a:ln>
      </xdr:spPr>
    </xdr:pic>
    <xdr:clientData fPrintsWithSheet="0"/>
  </xdr:twoCellAnchor>
  <xdr:twoCellAnchor editAs="oneCell">
    <xdr:from>
      <xdr:col>3</xdr:col>
      <xdr:colOff>0</xdr:colOff>
      <xdr:row>25</xdr:row>
      <xdr:rowOff>28575</xdr:rowOff>
    </xdr:from>
    <xdr:to>
      <xdr:col>4</xdr:col>
      <xdr:colOff>19050</xdr:colOff>
      <xdr:row>25</xdr:row>
      <xdr:rowOff>152400</xdr:rowOff>
    </xdr:to>
    <xdr:pic>
      <xdr:nvPicPr>
        <xdr:cNvPr id="35" name="CheckBox17"/>
        <xdr:cNvPicPr preferRelativeResize="1">
          <a:picLocks noChangeAspect="1"/>
        </xdr:cNvPicPr>
      </xdr:nvPicPr>
      <xdr:blipFill>
        <a:blip r:embed="rId5"/>
        <a:stretch>
          <a:fillRect/>
        </a:stretch>
      </xdr:blipFill>
      <xdr:spPr>
        <a:xfrm>
          <a:off x="3362325" y="5324475"/>
          <a:ext cx="133350" cy="123825"/>
        </a:xfrm>
        <a:prstGeom prst="rect">
          <a:avLst/>
        </a:prstGeom>
        <a:noFill/>
        <a:ln w="9525" cmpd="sng">
          <a:noFill/>
        </a:ln>
      </xdr:spPr>
    </xdr:pic>
    <xdr:clientData fPrintsWithSheet="0"/>
  </xdr:twoCellAnchor>
  <xdr:twoCellAnchor editAs="oneCell">
    <xdr:from>
      <xdr:col>5</xdr:col>
      <xdr:colOff>76200</xdr:colOff>
      <xdr:row>36</xdr:row>
      <xdr:rowOff>85725</xdr:rowOff>
    </xdr:from>
    <xdr:to>
      <xdr:col>6</xdr:col>
      <xdr:colOff>676275</xdr:colOff>
      <xdr:row>38</xdr:row>
      <xdr:rowOff>114300</xdr:rowOff>
    </xdr:to>
    <xdr:pic>
      <xdr:nvPicPr>
        <xdr:cNvPr id="36" name="CommandButton2"/>
        <xdr:cNvPicPr preferRelativeResize="1">
          <a:picLocks noChangeAspect="1"/>
        </xdr:cNvPicPr>
      </xdr:nvPicPr>
      <xdr:blipFill>
        <a:blip r:embed="rId8"/>
        <a:stretch>
          <a:fillRect/>
        </a:stretch>
      </xdr:blipFill>
      <xdr:spPr>
        <a:xfrm>
          <a:off x="5534025" y="7162800"/>
          <a:ext cx="1095375" cy="352425"/>
        </a:xfrm>
        <a:prstGeom prst="rect">
          <a:avLst/>
        </a:prstGeom>
        <a:noFill/>
        <a:ln w="9525" cmpd="sng">
          <a:noFill/>
        </a:ln>
      </xdr:spPr>
    </xdr:pic>
    <xdr:clientData fPrintsWithSheet="0"/>
  </xdr:twoCellAnchor>
  <xdr:twoCellAnchor editAs="oneCell">
    <xdr:from>
      <xdr:col>7</xdr:col>
      <xdr:colOff>0</xdr:colOff>
      <xdr:row>12</xdr:row>
      <xdr:rowOff>28575</xdr:rowOff>
    </xdr:from>
    <xdr:to>
      <xdr:col>7</xdr:col>
      <xdr:colOff>133350</xdr:colOff>
      <xdr:row>12</xdr:row>
      <xdr:rowOff>152400</xdr:rowOff>
    </xdr:to>
    <xdr:pic>
      <xdr:nvPicPr>
        <xdr:cNvPr id="37" name="CheckBox18"/>
        <xdr:cNvPicPr preferRelativeResize="1">
          <a:picLocks noChangeAspect="1"/>
        </xdr:cNvPicPr>
      </xdr:nvPicPr>
      <xdr:blipFill>
        <a:blip r:embed="rId4"/>
        <a:stretch>
          <a:fillRect/>
        </a:stretch>
      </xdr:blipFill>
      <xdr:spPr>
        <a:xfrm>
          <a:off x="6829425" y="3219450"/>
          <a:ext cx="133350" cy="123825"/>
        </a:xfrm>
        <a:prstGeom prst="rect">
          <a:avLst/>
        </a:prstGeom>
        <a:noFill/>
        <a:ln w="9525" cmpd="sng">
          <a:noFill/>
        </a:ln>
      </xdr:spPr>
    </xdr:pic>
    <xdr:clientData fPrintsWithSheet="0"/>
  </xdr:twoCellAnchor>
  <xdr:twoCellAnchor editAs="oneCell">
    <xdr:from>
      <xdr:col>7</xdr:col>
      <xdr:colOff>0</xdr:colOff>
      <xdr:row>12</xdr:row>
      <xdr:rowOff>28575</xdr:rowOff>
    </xdr:from>
    <xdr:to>
      <xdr:col>7</xdr:col>
      <xdr:colOff>133350</xdr:colOff>
      <xdr:row>12</xdr:row>
      <xdr:rowOff>152400</xdr:rowOff>
    </xdr:to>
    <xdr:pic>
      <xdr:nvPicPr>
        <xdr:cNvPr id="38" name="CheckBox19"/>
        <xdr:cNvPicPr preferRelativeResize="1">
          <a:picLocks noChangeAspect="1"/>
        </xdr:cNvPicPr>
      </xdr:nvPicPr>
      <xdr:blipFill>
        <a:blip r:embed="rId4"/>
        <a:stretch>
          <a:fillRect/>
        </a:stretch>
      </xdr:blipFill>
      <xdr:spPr>
        <a:xfrm>
          <a:off x="6829425" y="3219450"/>
          <a:ext cx="133350" cy="123825"/>
        </a:xfrm>
        <a:prstGeom prst="rect">
          <a:avLst/>
        </a:prstGeom>
        <a:noFill/>
        <a:ln w="9525" cmpd="sng">
          <a:noFill/>
        </a:ln>
      </xdr:spPr>
    </xdr:pic>
    <xdr:clientData fPrintsWithSheet="0"/>
  </xdr:twoCellAnchor>
  <xdr:twoCellAnchor editAs="oneCell">
    <xdr:from>
      <xdr:col>7</xdr:col>
      <xdr:colOff>0</xdr:colOff>
      <xdr:row>13</xdr:row>
      <xdr:rowOff>28575</xdr:rowOff>
    </xdr:from>
    <xdr:to>
      <xdr:col>7</xdr:col>
      <xdr:colOff>133350</xdr:colOff>
      <xdr:row>13</xdr:row>
      <xdr:rowOff>152400</xdr:rowOff>
    </xdr:to>
    <xdr:pic>
      <xdr:nvPicPr>
        <xdr:cNvPr id="39" name="CheckBox20"/>
        <xdr:cNvPicPr preferRelativeResize="1">
          <a:picLocks noChangeAspect="1"/>
        </xdr:cNvPicPr>
      </xdr:nvPicPr>
      <xdr:blipFill>
        <a:blip r:embed="rId4"/>
        <a:stretch>
          <a:fillRect/>
        </a:stretch>
      </xdr:blipFill>
      <xdr:spPr>
        <a:xfrm>
          <a:off x="6829425" y="3381375"/>
          <a:ext cx="133350" cy="123825"/>
        </a:xfrm>
        <a:prstGeom prst="rect">
          <a:avLst/>
        </a:prstGeom>
        <a:noFill/>
        <a:ln w="9525" cmpd="sng">
          <a:noFill/>
        </a:ln>
      </xdr:spPr>
    </xdr:pic>
    <xdr:clientData fPrintsWithSheet="0"/>
  </xdr:twoCellAnchor>
  <xdr:twoCellAnchor editAs="oneCell">
    <xdr:from>
      <xdr:col>7</xdr:col>
      <xdr:colOff>0</xdr:colOff>
      <xdr:row>14</xdr:row>
      <xdr:rowOff>28575</xdr:rowOff>
    </xdr:from>
    <xdr:to>
      <xdr:col>7</xdr:col>
      <xdr:colOff>133350</xdr:colOff>
      <xdr:row>14</xdr:row>
      <xdr:rowOff>152400</xdr:rowOff>
    </xdr:to>
    <xdr:pic>
      <xdr:nvPicPr>
        <xdr:cNvPr id="40" name="CheckBox21"/>
        <xdr:cNvPicPr preferRelativeResize="1">
          <a:picLocks noChangeAspect="1"/>
        </xdr:cNvPicPr>
      </xdr:nvPicPr>
      <xdr:blipFill>
        <a:blip r:embed="rId4"/>
        <a:stretch>
          <a:fillRect/>
        </a:stretch>
      </xdr:blipFill>
      <xdr:spPr>
        <a:xfrm>
          <a:off x="6829425" y="3543300"/>
          <a:ext cx="133350" cy="123825"/>
        </a:xfrm>
        <a:prstGeom prst="rect">
          <a:avLst/>
        </a:prstGeom>
        <a:noFill/>
        <a:ln w="9525" cmpd="sng">
          <a:noFill/>
        </a:ln>
      </xdr:spPr>
    </xdr:pic>
    <xdr:clientData fPrintsWithSheet="0"/>
  </xdr:twoCellAnchor>
  <xdr:twoCellAnchor editAs="oneCell">
    <xdr:from>
      <xdr:col>7</xdr:col>
      <xdr:colOff>0</xdr:colOff>
      <xdr:row>15</xdr:row>
      <xdr:rowOff>28575</xdr:rowOff>
    </xdr:from>
    <xdr:to>
      <xdr:col>7</xdr:col>
      <xdr:colOff>133350</xdr:colOff>
      <xdr:row>15</xdr:row>
      <xdr:rowOff>152400</xdr:rowOff>
    </xdr:to>
    <xdr:pic>
      <xdr:nvPicPr>
        <xdr:cNvPr id="41" name="CheckBox35"/>
        <xdr:cNvPicPr preferRelativeResize="1">
          <a:picLocks noChangeAspect="1"/>
        </xdr:cNvPicPr>
      </xdr:nvPicPr>
      <xdr:blipFill>
        <a:blip r:embed="rId4"/>
        <a:stretch>
          <a:fillRect/>
        </a:stretch>
      </xdr:blipFill>
      <xdr:spPr>
        <a:xfrm>
          <a:off x="6829425" y="3705225"/>
          <a:ext cx="133350" cy="123825"/>
        </a:xfrm>
        <a:prstGeom prst="rect">
          <a:avLst/>
        </a:prstGeom>
        <a:noFill/>
        <a:ln w="9525" cmpd="sng">
          <a:noFill/>
        </a:ln>
      </xdr:spPr>
    </xdr:pic>
    <xdr:clientData fPrintsWithSheet="0"/>
  </xdr:twoCellAnchor>
  <xdr:twoCellAnchor editAs="oneCell">
    <xdr:from>
      <xdr:col>7</xdr:col>
      <xdr:colOff>0</xdr:colOff>
      <xdr:row>16</xdr:row>
      <xdr:rowOff>28575</xdr:rowOff>
    </xdr:from>
    <xdr:to>
      <xdr:col>7</xdr:col>
      <xdr:colOff>133350</xdr:colOff>
      <xdr:row>16</xdr:row>
      <xdr:rowOff>152400</xdr:rowOff>
    </xdr:to>
    <xdr:pic>
      <xdr:nvPicPr>
        <xdr:cNvPr id="42" name="CheckBox36"/>
        <xdr:cNvPicPr preferRelativeResize="1">
          <a:picLocks noChangeAspect="1"/>
        </xdr:cNvPicPr>
      </xdr:nvPicPr>
      <xdr:blipFill>
        <a:blip r:embed="rId4"/>
        <a:stretch>
          <a:fillRect/>
        </a:stretch>
      </xdr:blipFill>
      <xdr:spPr>
        <a:xfrm>
          <a:off x="6829425" y="3867150"/>
          <a:ext cx="133350" cy="123825"/>
        </a:xfrm>
        <a:prstGeom prst="rect">
          <a:avLst/>
        </a:prstGeom>
        <a:noFill/>
        <a:ln w="9525" cmpd="sng">
          <a:noFill/>
        </a:ln>
      </xdr:spPr>
    </xdr:pic>
    <xdr:clientData fPrintsWithSheet="0"/>
  </xdr:twoCellAnchor>
  <xdr:twoCellAnchor editAs="oneCell">
    <xdr:from>
      <xdr:col>2</xdr:col>
      <xdr:colOff>866775</xdr:colOff>
      <xdr:row>53</xdr:row>
      <xdr:rowOff>28575</xdr:rowOff>
    </xdr:from>
    <xdr:to>
      <xdr:col>4</xdr:col>
      <xdr:colOff>0</xdr:colOff>
      <xdr:row>53</xdr:row>
      <xdr:rowOff>152400</xdr:rowOff>
    </xdr:to>
    <xdr:pic>
      <xdr:nvPicPr>
        <xdr:cNvPr id="43" name="CheckBox37"/>
        <xdr:cNvPicPr preferRelativeResize="1">
          <a:picLocks noChangeAspect="1"/>
        </xdr:cNvPicPr>
      </xdr:nvPicPr>
      <xdr:blipFill>
        <a:blip r:embed="rId4"/>
        <a:stretch>
          <a:fillRect/>
        </a:stretch>
      </xdr:blipFill>
      <xdr:spPr>
        <a:xfrm>
          <a:off x="3343275" y="9858375"/>
          <a:ext cx="133350" cy="123825"/>
        </a:xfrm>
        <a:prstGeom prst="rect">
          <a:avLst/>
        </a:prstGeom>
        <a:noFill/>
        <a:ln w="9525" cmpd="sng">
          <a:noFill/>
        </a:ln>
      </xdr:spPr>
    </xdr:pic>
    <xdr:clientData fPrintsWithSheet="0"/>
  </xdr:twoCellAnchor>
  <xdr:twoCellAnchor editAs="oneCell">
    <xdr:from>
      <xdr:col>3</xdr:col>
      <xdr:colOff>0</xdr:colOff>
      <xdr:row>52</xdr:row>
      <xdr:rowOff>28575</xdr:rowOff>
    </xdr:from>
    <xdr:to>
      <xdr:col>4</xdr:col>
      <xdr:colOff>19050</xdr:colOff>
      <xdr:row>52</xdr:row>
      <xdr:rowOff>152400</xdr:rowOff>
    </xdr:to>
    <xdr:pic>
      <xdr:nvPicPr>
        <xdr:cNvPr id="44" name="CheckBox38"/>
        <xdr:cNvPicPr preferRelativeResize="1">
          <a:picLocks noChangeAspect="1"/>
        </xdr:cNvPicPr>
      </xdr:nvPicPr>
      <xdr:blipFill>
        <a:blip r:embed="rId4"/>
        <a:stretch>
          <a:fillRect/>
        </a:stretch>
      </xdr:blipFill>
      <xdr:spPr>
        <a:xfrm>
          <a:off x="3362325" y="9696450"/>
          <a:ext cx="133350" cy="123825"/>
        </a:xfrm>
        <a:prstGeom prst="rect">
          <a:avLst/>
        </a:prstGeom>
        <a:noFill/>
        <a:ln w="9525" cmpd="sng">
          <a:noFill/>
        </a:ln>
      </xdr:spPr>
    </xdr:pic>
    <xdr:clientData fPrintsWithSheet="0"/>
  </xdr:twoCellAnchor>
  <xdr:twoCellAnchor editAs="oneCell">
    <xdr:from>
      <xdr:col>2</xdr:col>
      <xdr:colOff>876300</xdr:colOff>
      <xdr:row>51</xdr:row>
      <xdr:rowOff>9525</xdr:rowOff>
    </xdr:from>
    <xdr:to>
      <xdr:col>4</xdr:col>
      <xdr:colOff>9525</xdr:colOff>
      <xdr:row>51</xdr:row>
      <xdr:rowOff>123825</xdr:rowOff>
    </xdr:to>
    <xdr:pic>
      <xdr:nvPicPr>
        <xdr:cNvPr id="45" name="CheckBox39"/>
        <xdr:cNvPicPr preferRelativeResize="1">
          <a:picLocks noChangeAspect="1"/>
        </xdr:cNvPicPr>
      </xdr:nvPicPr>
      <xdr:blipFill>
        <a:blip r:embed="rId4"/>
        <a:stretch>
          <a:fillRect/>
        </a:stretch>
      </xdr:blipFill>
      <xdr:spPr>
        <a:xfrm>
          <a:off x="3352800" y="9515475"/>
          <a:ext cx="133350" cy="114300"/>
        </a:xfrm>
        <a:prstGeom prst="rect">
          <a:avLst/>
        </a:prstGeom>
        <a:noFill/>
        <a:ln w="9525" cmpd="sng">
          <a:noFill/>
        </a:ln>
      </xdr:spPr>
    </xdr:pic>
    <xdr:clientData fPrintsWithSheet="0"/>
  </xdr:twoCellAnchor>
  <xdr:twoCellAnchor editAs="oneCell">
    <xdr:from>
      <xdr:col>2</xdr:col>
      <xdr:colOff>876300</xdr:colOff>
      <xdr:row>50</xdr:row>
      <xdr:rowOff>9525</xdr:rowOff>
    </xdr:from>
    <xdr:to>
      <xdr:col>4</xdr:col>
      <xdr:colOff>9525</xdr:colOff>
      <xdr:row>50</xdr:row>
      <xdr:rowOff>123825</xdr:rowOff>
    </xdr:to>
    <xdr:pic>
      <xdr:nvPicPr>
        <xdr:cNvPr id="46" name="CheckBox40"/>
        <xdr:cNvPicPr preferRelativeResize="1">
          <a:picLocks noChangeAspect="1"/>
        </xdr:cNvPicPr>
      </xdr:nvPicPr>
      <xdr:blipFill>
        <a:blip r:embed="rId4"/>
        <a:stretch>
          <a:fillRect/>
        </a:stretch>
      </xdr:blipFill>
      <xdr:spPr>
        <a:xfrm>
          <a:off x="3352800" y="9353550"/>
          <a:ext cx="133350" cy="114300"/>
        </a:xfrm>
        <a:prstGeom prst="rect">
          <a:avLst/>
        </a:prstGeom>
        <a:noFill/>
        <a:ln w="9525" cmpd="sng">
          <a:noFill/>
        </a:ln>
      </xdr:spPr>
    </xdr:pic>
    <xdr:clientData fPrintsWithSheet="0"/>
  </xdr:twoCellAnchor>
  <xdr:twoCellAnchor editAs="oneCell">
    <xdr:from>
      <xdr:col>3</xdr:col>
      <xdr:colOff>0</xdr:colOff>
      <xdr:row>54</xdr:row>
      <xdr:rowOff>28575</xdr:rowOff>
    </xdr:from>
    <xdr:to>
      <xdr:col>4</xdr:col>
      <xdr:colOff>19050</xdr:colOff>
      <xdr:row>54</xdr:row>
      <xdr:rowOff>152400</xdr:rowOff>
    </xdr:to>
    <xdr:pic>
      <xdr:nvPicPr>
        <xdr:cNvPr id="47" name="CheckBox41"/>
        <xdr:cNvPicPr preferRelativeResize="1">
          <a:picLocks noChangeAspect="1"/>
        </xdr:cNvPicPr>
      </xdr:nvPicPr>
      <xdr:blipFill>
        <a:blip r:embed="rId4"/>
        <a:stretch>
          <a:fillRect/>
        </a:stretch>
      </xdr:blipFill>
      <xdr:spPr>
        <a:xfrm>
          <a:off x="3362325" y="10020300"/>
          <a:ext cx="133350" cy="123825"/>
        </a:xfrm>
        <a:prstGeom prst="rect">
          <a:avLst/>
        </a:prstGeom>
        <a:noFill/>
        <a:ln w="9525" cmpd="sng">
          <a:noFill/>
        </a:ln>
      </xdr:spPr>
    </xdr:pic>
    <xdr:clientData fPrintsWithSheet="0"/>
  </xdr:twoCellAnchor>
  <xdr:twoCellAnchor editAs="oneCell">
    <xdr:from>
      <xdr:col>5</xdr:col>
      <xdr:colOff>85725</xdr:colOff>
      <xdr:row>42</xdr:row>
      <xdr:rowOff>152400</xdr:rowOff>
    </xdr:from>
    <xdr:to>
      <xdr:col>6</xdr:col>
      <xdr:colOff>57150</xdr:colOff>
      <xdr:row>44</xdr:row>
      <xdr:rowOff>0</xdr:rowOff>
    </xdr:to>
    <xdr:pic>
      <xdr:nvPicPr>
        <xdr:cNvPr id="48" name="ComboBox3"/>
        <xdr:cNvPicPr preferRelativeResize="1">
          <a:picLocks noChangeAspect="1"/>
        </xdr:cNvPicPr>
      </xdr:nvPicPr>
      <xdr:blipFill>
        <a:blip r:embed="rId9"/>
        <a:stretch>
          <a:fillRect/>
        </a:stretch>
      </xdr:blipFill>
      <xdr:spPr>
        <a:xfrm>
          <a:off x="5543550" y="8201025"/>
          <a:ext cx="466725" cy="171450"/>
        </a:xfrm>
        <a:prstGeom prst="rect">
          <a:avLst/>
        </a:prstGeom>
        <a:noFill/>
        <a:ln w="9525" cmpd="sng">
          <a:noFill/>
        </a:ln>
      </xdr:spPr>
    </xdr:pic>
    <xdr:clientData fPrintsWithSheet="0"/>
  </xdr:twoCellAnchor>
  <xdr:twoCellAnchor editAs="oneCell">
    <xdr:from>
      <xdr:col>7</xdr:col>
      <xdr:colOff>19050</xdr:colOff>
      <xdr:row>45</xdr:row>
      <xdr:rowOff>28575</xdr:rowOff>
    </xdr:from>
    <xdr:to>
      <xdr:col>7</xdr:col>
      <xdr:colOff>152400</xdr:colOff>
      <xdr:row>45</xdr:row>
      <xdr:rowOff>152400</xdr:rowOff>
    </xdr:to>
    <xdr:pic>
      <xdr:nvPicPr>
        <xdr:cNvPr id="49" name="CheckBox42"/>
        <xdr:cNvPicPr preferRelativeResize="1">
          <a:picLocks noChangeAspect="1"/>
        </xdr:cNvPicPr>
      </xdr:nvPicPr>
      <xdr:blipFill>
        <a:blip r:embed="rId4"/>
        <a:stretch>
          <a:fillRect/>
        </a:stretch>
      </xdr:blipFill>
      <xdr:spPr>
        <a:xfrm>
          <a:off x="6848475" y="8562975"/>
          <a:ext cx="133350" cy="123825"/>
        </a:xfrm>
        <a:prstGeom prst="rect">
          <a:avLst/>
        </a:prstGeom>
        <a:noFill/>
        <a:ln w="9525" cmpd="sng">
          <a:noFill/>
        </a:ln>
      </xdr:spPr>
    </xdr:pic>
    <xdr:clientData fPrintsWithSheet="0"/>
  </xdr:twoCellAnchor>
  <xdr:twoCellAnchor editAs="oneCell">
    <xdr:from>
      <xdr:col>7</xdr:col>
      <xdr:colOff>19050</xdr:colOff>
      <xdr:row>46</xdr:row>
      <xdr:rowOff>38100</xdr:rowOff>
    </xdr:from>
    <xdr:to>
      <xdr:col>7</xdr:col>
      <xdr:colOff>152400</xdr:colOff>
      <xdr:row>46</xdr:row>
      <xdr:rowOff>161925</xdr:rowOff>
    </xdr:to>
    <xdr:pic>
      <xdr:nvPicPr>
        <xdr:cNvPr id="50" name="CheckBox43"/>
        <xdr:cNvPicPr preferRelativeResize="1">
          <a:picLocks noChangeAspect="1"/>
        </xdr:cNvPicPr>
      </xdr:nvPicPr>
      <xdr:blipFill>
        <a:blip r:embed="rId4"/>
        <a:stretch>
          <a:fillRect/>
        </a:stretch>
      </xdr:blipFill>
      <xdr:spPr>
        <a:xfrm>
          <a:off x="6848475" y="8734425"/>
          <a:ext cx="133350" cy="123825"/>
        </a:xfrm>
        <a:prstGeom prst="rect">
          <a:avLst/>
        </a:prstGeom>
        <a:noFill/>
        <a:ln w="9525" cmpd="sng">
          <a:noFill/>
        </a:ln>
      </xdr:spPr>
    </xdr:pic>
    <xdr:clientData fPrintsWithSheet="0"/>
  </xdr:twoCellAnchor>
  <xdr:twoCellAnchor editAs="oneCell">
    <xdr:from>
      <xdr:col>7</xdr:col>
      <xdr:colOff>19050</xdr:colOff>
      <xdr:row>47</xdr:row>
      <xdr:rowOff>9525</xdr:rowOff>
    </xdr:from>
    <xdr:to>
      <xdr:col>7</xdr:col>
      <xdr:colOff>152400</xdr:colOff>
      <xdr:row>47</xdr:row>
      <xdr:rowOff>133350</xdr:rowOff>
    </xdr:to>
    <xdr:pic>
      <xdr:nvPicPr>
        <xdr:cNvPr id="51" name="CheckBox44"/>
        <xdr:cNvPicPr preferRelativeResize="1">
          <a:picLocks noChangeAspect="1"/>
        </xdr:cNvPicPr>
      </xdr:nvPicPr>
      <xdr:blipFill>
        <a:blip r:embed="rId4"/>
        <a:stretch>
          <a:fillRect/>
        </a:stretch>
      </xdr:blipFill>
      <xdr:spPr>
        <a:xfrm>
          <a:off x="6848475" y="8867775"/>
          <a:ext cx="133350" cy="123825"/>
        </a:xfrm>
        <a:prstGeom prst="rect">
          <a:avLst/>
        </a:prstGeom>
        <a:noFill/>
        <a:ln w="9525" cmpd="sng">
          <a:noFill/>
        </a:ln>
      </xdr:spPr>
    </xdr:pic>
    <xdr:clientData fPrintsWithSheet="0"/>
  </xdr:twoCellAnchor>
  <xdr:twoCellAnchor editAs="oneCell">
    <xdr:from>
      <xdr:col>7</xdr:col>
      <xdr:colOff>19050</xdr:colOff>
      <xdr:row>48</xdr:row>
      <xdr:rowOff>9525</xdr:rowOff>
    </xdr:from>
    <xdr:to>
      <xdr:col>7</xdr:col>
      <xdr:colOff>152400</xdr:colOff>
      <xdr:row>48</xdr:row>
      <xdr:rowOff>133350</xdr:rowOff>
    </xdr:to>
    <xdr:pic>
      <xdr:nvPicPr>
        <xdr:cNvPr id="52" name="CheckBox45"/>
        <xdr:cNvPicPr preferRelativeResize="1">
          <a:picLocks noChangeAspect="1"/>
        </xdr:cNvPicPr>
      </xdr:nvPicPr>
      <xdr:blipFill>
        <a:blip r:embed="rId4"/>
        <a:stretch>
          <a:fillRect/>
        </a:stretch>
      </xdr:blipFill>
      <xdr:spPr>
        <a:xfrm>
          <a:off x="6848475" y="9029700"/>
          <a:ext cx="133350" cy="123825"/>
        </a:xfrm>
        <a:prstGeom prst="rect">
          <a:avLst/>
        </a:prstGeom>
        <a:noFill/>
        <a:ln w="9525" cmpd="sng">
          <a:noFill/>
        </a:ln>
      </xdr:spPr>
    </xdr:pic>
    <xdr:clientData fPrintsWithSheet="0"/>
  </xdr:twoCellAnchor>
  <xdr:twoCellAnchor editAs="oneCell">
    <xdr:from>
      <xdr:col>7</xdr:col>
      <xdr:colOff>19050</xdr:colOff>
      <xdr:row>49</xdr:row>
      <xdr:rowOff>9525</xdr:rowOff>
    </xdr:from>
    <xdr:to>
      <xdr:col>7</xdr:col>
      <xdr:colOff>152400</xdr:colOff>
      <xdr:row>49</xdr:row>
      <xdr:rowOff>133350</xdr:rowOff>
    </xdr:to>
    <xdr:pic>
      <xdr:nvPicPr>
        <xdr:cNvPr id="53" name="CheckBox46"/>
        <xdr:cNvPicPr preferRelativeResize="1">
          <a:picLocks noChangeAspect="1"/>
        </xdr:cNvPicPr>
      </xdr:nvPicPr>
      <xdr:blipFill>
        <a:blip r:embed="rId4"/>
        <a:stretch>
          <a:fillRect/>
        </a:stretch>
      </xdr:blipFill>
      <xdr:spPr>
        <a:xfrm>
          <a:off x="6848475" y="9191625"/>
          <a:ext cx="133350" cy="123825"/>
        </a:xfrm>
        <a:prstGeom prst="rect">
          <a:avLst/>
        </a:prstGeom>
        <a:noFill/>
        <a:ln w="9525" cmpd="sng">
          <a:noFill/>
        </a:ln>
      </xdr:spPr>
    </xdr:pic>
    <xdr:clientData fPrintsWithSheet="0"/>
  </xdr:twoCellAnchor>
  <xdr:twoCellAnchor editAs="oneCell">
    <xdr:from>
      <xdr:col>7</xdr:col>
      <xdr:colOff>19050</xdr:colOff>
      <xdr:row>50</xdr:row>
      <xdr:rowOff>9525</xdr:rowOff>
    </xdr:from>
    <xdr:to>
      <xdr:col>7</xdr:col>
      <xdr:colOff>152400</xdr:colOff>
      <xdr:row>50</xdr:row>
      <xdr:rowOff>133350</xdr:rowOff>
    </xdr:to>
    <xdr:pic>
      <xdr:nvPicPr>
        <xdr:cNvPr id="54" name="CheckBox47"/>
        <xdr:cNvPicPr preferRelativeResize="1">
          <a:picLocks noChangeAspect="1"/>
        </xdr:cNvPicPr>
      </xdr:nvPicPr>
      <xdr:blipFill>
        <a:blip r:embed="rId4"/>
        <a:stretch>
          <a:fillRect/>
        </a:stretch>
      </xdr:blipFill>
      <xdr:spPr>
        <a:xfrm>
          <a:off x="6848475" y="9353550"/>
          <a:ext cx="133350" cy="123825"/>
        </a:xfrm>
        <a:prstGeom prst="rect">
          <a:avLst/>
        </a:prstGeom>
        <a:noFill/>
        <a:ln w="9525" cmpd="sng">
          <a:noFill/>
        </a:ln>
      </xdr:spPr>
    </xdr:pic>
    <xdr:clientData fPrintsWithSheet="0"/>
  </xdr:twoCellAnchor>
  <xdr:twoCellAnchor editAs="oneCell">
    <xdr:from>
      <xdr:col>7</xdr:col>
      <xdr:colOff>28575</xdr:colOff>
      <xdr:row>51</xdr:row>
      <xdr:rowOff>9525</xdr:rowOff>
    </xdr:from>
    <xdr:to>
      <xdr:col>7</xdr:col>
      <xdr:colOff>161925</xdr:colOff>
      <xdr:row>51</xdr:row>
      <xdr:rowOff>133350</xdr:rowOff>
    </xdr:to>
    <xdr:pic>
      <xdr:nvPicPr>
        <xdr:cNvPr id="55" name="CheckBox48"/>
        <xdr:cNvPicPr preferRelativeResize="1">
          <a:picLocks noChangeAspect="1"/>
        </xdr:cNvPicPr>
      </xdr:nvPicPr>
      <xdr:blipFill>
        <a:blip r:embed="rId4"/>
        <a:stretch>
          <a:fillRect/>
        </a:stretch>
      </xdr:blipFill>
      <xdr:spPr>
        <a:xfrm>
          <a:off x="6858000" y="9515475"/>
          <a:ext cx="133350" cy="123825"/>
        </a:xfrm>
        <a:prstGeom prst="rect">
          <a:avLst/>
        </a:prstGeom>
        <a:noFill/>
        <a:ln w="9525" cmpd="sng">
          <a:noFill/>
        </a:ln>
      </xdr:spPr>
    </xdr:pic>
    <xdr:clientData fPrintsWithSheet="0"/>
  </xdr:twoCellAnchor>
  <xdr:twoCellAnchor editAs="oneCell">
    <xdr:from>
      <xdr:col>7</xdr:col>
      <xdr:colOff>28575</xdr:colOff>
      <xdr:row>52</xdr:row>
      <xdr:rowOff>9525</xdr:rowOff>
    </xdr:from>
    <xdr:to>
      <xdr:col>7</xdr:col>
      <xdr:colOff>161925</xdr:colOff>
      <xdr:row>52</xdr:row>
      <xdr:rowOff>133350</xdr:rowOff>
    </xdr:to>
    <xdr:pic>
      <xdr:nvPicPr>
        <xdr:cNvPr id="56" name="CheckBox49"/>
        <xdr:cNvPicPr preferRelativeResize="1">
          <a:picLocks noChangeAspect="1"/>
        </xdr:cNvPicPr>
      </xdr:nvPicPr>
      <xdr:blipFill>
        <a:blip r:embed="rId4"/>
        <a:stretch>
          <a:fillRect/>
        </a:stretch>
      </xdr:blipFill>
      <xdr:spPr>
        <a:xfrm>
          <a:off x="6858000" y="9677400"/>
          <a:ext cx="133350" cy="123825"/>
        </a:xfrm>
        <a:prstGeom prst="rect">
          <a:avLst/>
        </a:prstGeom>
        <a:noFill/>
        <a:ln w="9525" cmpd="sng">
          <a:noFill/>
        </a:ln>
      </xdr:spPr>
    </xdr:pic>
    <xdr:clientData fPrintsWithSheet="0"/>
  </xdr:twoCellAnchor>
  <xdr:twoCellAnchor editAs="oneCell">
    <xdr:from>
      <xdr:col>7</xdr:col>
      <xdr:colOff>28575</xdr:colOff>
      <xdr:row>53</xdr:row>
      <xdr:rowOff>9525</xdr:rowOff>
    </xdr:from>
    <xdr:to>
      <xdr:col>7</xdr:col>
      <xdr:colOff>161925</xdr:colOff>
      <xdr:row>53</xdr:row>
      <xdr:rowOff>133350</xdr:rowOff>
    </xdr:to>
    <xdr:pic>
      <xdr:nvPicPr>
        <xdr:cNvPr id="57" name="CheckBox50"/>
        <xdr:cNvPicPr preferRelativeResize="1">
          <a:picLocks noChangeAspect="1"/>
        </xdr:cNvPicPr>
      </xdr:nvPicPr>
      <xdr:blipFill>
        <a:blip r:embed="rId4"/>
        <a:stretch>
          <a:fillRect/>
        </a:stretch>
      </xdr:blipFill>
      <xdr:spPr>
        <a:xfrm>
          <a:off x="6858000" y="9839325"/>
          <a:ext cx="133350" cy="123825"/>
        </a:xfrm>
        <a:prstGeom prst="rect">
          <a:avLst/>
        </a:prstGeom>
        <a:noFill/>
        <a:ln w="9525" cmpd="sng">
          <a:noFill/>
        </a:ln>
      </xdr:spPr>
    </xdr:pic>
    <xdr:clientData fPrintsWithSheet="0"/>
  </xdr:twoCellAnchor>
  <xdr:twoCellAnchor editAs="oneCell">
    <xdr:from>
      <xdr:col>7</xdr:col>
      <xdr:colOff>28575</xdr:colOff>
      <xdr:row>54</xdr:row>
      <xdr:rowOff>9525</xdr:rowOff>
    </xdr:from>
    <xdr:to>
      <xdr:col>7</xdr:col>
      <xdr:colOff>161925</xdr:colOff>
      <xdr:row>54</xdr:row>
      <xdr:rowOff>133350</xdr:rowOff>
    </xdr:to>
    <xdr:pic>
      <xdr:nvPicPr>
        <xdr:cNvPr id="58" name="CheckBox51"/>
        <xdr:cNvPicPr preferRelativeResize="1">
          <a:picLocks noChangeAspect="1"/>
        </xdr:cNvPicPr>
      </xdr:nvPicPr>
      <xdr:blipFill>
        <a:blip r:embed="rId4"/>
        <a:stretch>
          <a:fillRect/>
        </a:stretch>
      </xdr:blipFill>
      <xdr:spPr>
        <a:xfrm>
          <a:off x="6858000" y="10001250"/>
          <a:ext cx="133350" cy="1238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161925</xdr:colOff>
      <xdr:row>1</xdr:row>
      <xdr:rowOff>76200</xdr:rowOff>
    </xdr:from>
    <xdr:to>
      <xdr:col>4</xdr:col>
      <xdr:colOff>1276350</xdr:colOff>
      <xdr:row>2</xdr:row>
      <xdr:rowOff>114300</xdr:rowOff>
    </xdr:to>
    <xdr:pic>
      <xdr:nvPicPr>
        <xdr:cNvPr id="1" name="CommandButton1"/>
        <xdr:cNvPicPr preferRelativeResize="1">
          <a:picLocks noChangeAspect="1"/>
        </xdr:cNvPicPr>
      </xdr:nvPicPr>
      <xdr:blipFill>
        <a:blip r:embed="rId1"/>
        <a:stretch>
          <a:fillRect/>
        </a:stretch>
      </xdr:blipFill>
      <xdr:spPr>
        <a:xfrm>
          <a:off x="3638550" y="476250"/>
          <a:ext cx="1114425" cy="342900"/>
        </a:xfrm>
        <a:prstGeom prst="rect">
          <a:avLst/>
        </a:prstGeom>
        <a:noFill/>
        <a:ln w="9525" cmpd="sng">
          <a:noFill/>
        </a:ln>
      </xdr:spPr>
    </xdr:pic>
    <xdr:clientData fPrintsWithSheet="0"/>
  </xdr:twoCellAnchor>
  <xdr:twoCellAnchor editAs="oneCell">
    <xdr:from>
      <xdr:col>0</xdr:col>
      <xdr:colOff>1971675</xdr:colOff>
      <xdr:row>22</xdr:row>
      <xdr:rowOff>123825</xdr:rowOff>
    </xdr:from>
    <xdr:to>
      <xdr:col>1</xdr:col>
      <xdr:colOff>447675</xdr:colOff>
      <xdr:row>23</xdr:row>
      <xdr:rowOff>142875</xdr:rowOff>
    </xdr:to>
    <xdr:pic>
      <xdr:nvPicPr>
        <xdr:cNvPr id="2" name="ComboBox2"/>
        <xdr:cNvPicPr preferRelativeResize="1">
          <a:picLocks noChangeAspect="1"/>
        </xdr:cNvPicPr>
      </xdr:nvPicPr>
      <xdr:blipFill>
        <a:blip r:embed="rId2"/>
        <a:stretch>
          <a:fillRect/>
        </a:stretch>
      </xdr:blipFill>
      <xdr:spPr>
        <a:xfrm>
          <a:off x="1971675" y="4067175"/>
          <a:ext cx="457200" cy="180975"/>
        </a:xfrm>
        <a:prstGeom prst="rect">
          <a:avLst/>
        </a:prstGeom>
        <a:noFill/>
        <a:ln w="9525" cmpd="sng">
          <a:noFill/>
        </a:ln>
      </xdr:spPr>
    </xdr:pic>
    <xdr:clientData fPrintsWithSheet="0"/>
  </xdr:twoCellAnchor>
  <xdr:twoCellAnchor editAs="oneCell">
    <xdr:from>
      <xdr:col>1</xdr:col>
      <xdr:colOff>9525</xdr:colOff>
      <xdr:row>3</xdr:row>
      <xdr:rowOff>152400</xdr:rowOff>
    </xdr:from>
    <xdr:to>
      <xdr:col>1</xdr:col>
      <xdr:colOff>457200</xdr:colOff>
      <xdr:row>5</xdr:row>
      <xdr:rowOff>0</xdr:rowOff>
    </xdr:to>
    <xdr:pic>
      <xdr:nvPicPr>
        <xdr:cNvPr id="3" name="ComboBox4"/>
        <xdr:cNvPicPr preferRelativeResize="1">
          <a:picLocks noChangeAspect="1"/>
        </xdr:cNvPicPr>
      </xdr:nvPicPr>
      <xdr:blipFill>
        <a:blip r:embed="rId3"/>
        <a:stretch>
          <a:fillRect/>
        </a:stretch>
      </xdr:blipFill>
      <xdr:spPr>
        <a:xfrm>
          <a:off x="1990725" y="1019175"/>
          <a:ext cx="447675" cy="171450"/>
        </a:xfrm>
        <a:prstGeom prst="rect">
          <a:avLst/>
        </a:prstGeom>
        <a:noFill/>
        <a:ln w="9525" cmpd="sng">
          <a:noFill/>
        </a:ln>
      </xdr:spPr>
    </xdr:pic>
    <xdr:clientData fPrintsWithSheet="0"/>
  </xdr:twoCellAnchor>
  <xdr:twoCellAnchor editAs="oneCell">
    <xdr:from>
      <xdr:col>2</xdr:col>
      <xdr:colOff>876300</xdr:colOff>
      <xdr:row>7</xdr:row>
      <xdr:rowOff>28575</xdr:rowOff>
    </xdr:from>
    <xdr:to>
      <xdr:col>4</xdr:col>
      <xdr:colOff>9525</xdr:colOff>
      <xdr:row>7</xdr:row>
      <xdr:rowOff>152400</xdr:rowOff>
    </xdr:to>
    <xdr:pic>
      <xdr:nvPicPr>
        <xdr:cNvPr id="4" name="CheckBox1"/>
        <xdr:cNvPicPr preferRelativeResize="1">
          <a:picLocks noChangeAspect="1"/>
        </xdr:cNvPicPr>
      </xdr:nvPicPr>
      <xdr:blipFill>
        <a:blip r:embed="rId4"/>
        <a:stretch>
          <a:fillRect/>
        </a:stretch>
      </xdr:blipFill>
      <xdr:spPr>
        <a:xfrm>
          <a:off x="3352800" y="1543050"/>
          <a:ext cx="133350" cy="123825"/>
        </a:xfrm>
        <a:prstGeom prst="rect">
          <a:avLst/>
        </a:prstGeom>
        <a:noFill/>
        <a:ln w="9525" cmpd="sng">
          <a:noFill/>
        </a:ln>
      </xdr:spPr>
    </xdr:pic>
    <xdr:clientData fPrintsWithSheet="0"/>
  </xdr:twoCellAnchor>
  <xdr:twoCellAnchor editAs="oneCell">
    <xdr:from>
      <xdr:col>2</xdr:col>
      <xdr:colOff>876300</xdr:colOff>
      <xdr:row>8</xdr:row>
      <xdr:rowOff>9525</xdr:rowOff>
    </xdr:from>
    <xdr:to>
      <xdr:col>4</xdr:col>
      <xdr:colOff>9525</xdr:colOff>
      <xdr:row>8</xdr:row>
      <xdr:rowOff>133350</xdr:rowOff>
    </xdr:to>
    <xdr:pic>
      <xdr:nvPicPr>
        <xdr:cNvPr id="5" name="CheckBox2"/>
        <xdr:cNvPicPr preferRelativeResize="1">
          <a:picLocks noChangeAspect="1"/>
        </xdr:cNvPicPr>
      </xdr:nvPicPr>
      <xdr:blipFill>
        <a:blip r:embed="rId4"/>
        <a:stretch>
          <a:fillRect/>
        </a:stretch>
      </xdr:blipFill>
      <xdr:spPr>
        <a:xfrm>
          <a:off x="3352800" y="1685925"/>
          <a:ext cx="133350" cy="123825"/>
        </a:xfrm>
        <a:prstGeom prst="rect">
          <a:avLst/>
        </a:prstGeom>
        <a:noFill/>
        <a:ln w="9525" cmpd="sng">
          <a:noFill/>
        </a:ln>
      </xdr:spPr>
    </xdr:pic>
    <xdr:clientData fPrintsWithSheet="0"/>
  </xdr:twoCellAnchor>
  <xdr:twoCellAnchor editAs="oneCell">
    <xdr:from>
      <xdr:col>2</xdr:col>
      <xdr:colOff>876300</xdr:colOff>
      <xdr:row>9</xdr:row>
      <xdr:rowOff>28575</xdr:rowOff>
    </xdr:from>
    <xdr:to>
      <xdr:col>4</xdr:col>
      <xdr:colOff>9525</xdr:colOff>
      <xdr:row>9</xdr:row>
      <xdr:rowOff>152400</xdr:rowOff>
    </xdr:to>
    <xdr:pic>
      <xdr:nvPicPr>
        <xdr:cNvPr id="6" name="CheckBox3"/>
        <xdr:cNvPicPr preferRelativeResize="1">
          <a:picLocks noChangeAspect="1"/>
        </xdr:cNvPicPr>
      </xdr:nvPicPr>
      <xdr:blipFill>
        <a:blip r:embed="rId4"/>
        <a:stretch>
          <a:fillRect/>
        </a:stretch>
      </xdr:blipFill>
      <xdr:spPr>
        <a:xfrm>
          <a:off x="3352800" y="1866900"/>
          <a:ext cx="133350" cy="123825"/>
        </a:xfrm>
        <a:prstGeom prst="rect">
          <a:avLst/>
        </a:prstGeom>
        <a:noFill/>
        <a:ln w="9525" cmpd="sng">
          <a:noFill/>
        </a:ln>
      </xdr:spPr>
    </xdr:pic>
    <xdr:clientData fPrintsWithSheet="0"/>
  </xdr:twoCellAnchor>
  <xdr:twoCellAnchor editAs="oneCell">
    <xdr:from>
      <xdr:col>2</xdr:col>
      <xdr:colOff>876300</xdr:colOff>
      <xdr:row>11</xdr:row>
      <xdr:rowOff>28575</xdr:rowOff>
    </xdr:from>
    <xdr:to>
      <xdr:col>4</xdr:col>
      <xdr:colOff>9525</xdr:colOff>
      <xdr:row>11</xdr:row>
      <xdr:rowOff>152400</xdr:rowOff>
    </xdr:to>
    <xdr:pic>
      <xdr:nvPicPr>
        <xdr:cNvPr id="7" name="CheckBox5"/>
        <xdr:cNvPicPr preferRelativeResize="1">
          <a:picLocks noChangeAspect="1"/>
        </xdr:cNvPicPr>
      </xdr:nvPicPr>
      <xdr:blipFill>
        <a:blip r:embed="rId4"/>
        <a:stretch>
          <a:fillRect/>
        </a:stretch>
      </xdr:blipFill>
      <xdr:spPr>
        <a:xfrm>
          <a:off x="3352800" y="2190750"/>
          <a:ext cx="133350" cy="123825"/>
        </a:xfrm>
        <a:prstGeom prst="rect">
          <a:avLst/>
        </a:prstGeom>
        <a:noFill/>
        <a:ln w="9525" cmpd="sng">
          <a:noFill/>
        </a:ln>
      </xdr:spPr>
    </xdr:pic>
    <xdr:clientData fPrintsWithSheet="0"/>
  </xdr:twoCellAnchor>
  <xdr:twoCellAnchor editAs="oneCell">
    <xdr:from>
      <xdr:col>2</xdr:col>
      <xdr:colOff>876300</xdr:colOff>
      <xdr:row>12</xdr:row>
      <xdr:rowOff>28575</xdr:rowOff>
    </xdr:from>
    <xdr:to>
      <xdr:col>4</xdr:col>
      <xdr:colOff>9525</xdr:colOff>
      <xdr:row>12</xdr:row>
      <xdr:rowOff>152400</xdr:rowOff>
    </xdr:to>
    <xdr:pic>
      <xdr:nvPicPr>
        <xdr:cNvPr id="8" name="CheckBox6"/>
        <xdr:cNvPicPr preferRelativeResize="1">
          <a:picLocks noChangeAspect="1"/>
        </xdr:cNvPicPr>
      </xdr:nvPicPr>
      <xdr:blipFill>
        <a:blip r:embed="rId4"/>
        <a:stretch>
          <a:fillRect/>
        </a:stretch>
      </xdr:blipFill>
      <xdr:spPr>
        <a:xfrm>
          <a:off x="3352800" y="2352675"/>
          <a:ext cx="133350" cy="123825"/>
        </a:xfrm>
        <a:prstGeom prst="rect">
          <a:avLst/>
        </a:prstGeom>
        <a:noFill/>
        <a:ln w="9525" cmpd="sng">
          <a:noFill/>
        </a:ln>
      </xdr:spPr>
    </xdr:pic>
    <xdr:clientData fPrintsWithSheet="0"/>
  </xdr:twoCellAnchor>
  <xdr:twoCellAnchor editAs="oneCell">
    <xdr:from>
      <xdr:col>2</xdr:col>
      <xdr:colOff>876300</xdr:colOff>
      <xdr:row>13</xdr:row>
      <xdr:rowOff>28575</xdr:rowOff>
    </xdr:from>
    <xdr:to>
      <xdr:col>4</xdr:col>
      <xdr:colOff>9525</xdr:colOff>
      <xdr:row>13</xdr:row>
      <xdr:rowOff>152400</xdr:rowOff>
    </xdr:to>
    <xdr:pic>
      <xdr:nvPicPr>
        <xdr:cNvPr id="9" name="CheckBox7"/>
        <xdr:cNvPicPr preferRelativeResize="1">
          <a:picLocks noChangeAspect="1"/>
        </xdr:cNvPicPr>
      </xdr:nvPicPr>
      <xdr:blipFill>
        <a:blip r:embed="rId4"/>
        <a:stretch>
          <a:fillRect/>
        </a:stretch>
      </xdr:blipFill>
      <xdr:spPr>
        <a:xfrm>
          <a:off x="3352800" y="2514600"/>
          <a:ext cx="133350" cy="123825"/>
        </a:xfrm>
        <a:prstGeom prst="rect">
          <a:avLst/>
        </a:prstGeom>
        <a:noFill/>
        <a:ln w="9525" cmpd="sng">
          <a:noFill/>
        </a:ln>
      </xdr:spPr>
    </xdr:pic>
    <xdr:clientData fPrintsWithSheet="0"/>
  </xdr:twoCellAnchor>
  <xdr:twoCellAnchor editAs="oneCell">
    <xdr:from>
      <xdr:col>2</xdr:col>
      <xdr:colOff>876300</xdr:colOff>
      <xdr:row>14</xdr:row>
      <xdr:rowOff>28575</xdr:rowOff>
    </xdr:from>
    <xdr:to>
      <xdr:col>4</xdr:col>
      <xdr:colOff>9525</xdr:colOff>
      <xdr:row>14</xdr:row>
      <xdr:rowOff>152400</xdr:rowOff>
    </xdr:to>
    <xdr:pic>
      <xdr:nvPicPr>
        <xdr:cNvPr id="10" name="CheckBox8"/>
        <xdr:cNvPicPr preferRelativeResize="1">
          <a:picLocks noChangeAspect="1"/>
        </xdr:cNvPicPr>
      </xdr:nvPicPr>
      <xdr:blipFill>
        <a:blip r:embed="rId4"/>
        <a:stretch>
          <a:fillRect/>
        </a:stretch>
      </xdr:blipFill>
      <xdr:spPr>
        <a:xfrm>
          <a:off x="3352800" y="2676525"/>
          <a:ext cx="133350" cy="123825"/>
        </a:xfrm>
        <a:prstGeom prst="rect">
          <a:avLst/>
        </a:prstGeom>
        <a:noFill/>
        <a:ln w="9525" cmpd="sng">
          <a:noFill/>
        </a:ln>
      </xdr:spPr>
    </xdr:pic>
    <xdr:clientData fPrintsWithSheet="0"/>
  </xdr:twoCellAnchor>
  <xdr:twoCellAnchor editAs="oneCell">
    <xdr:from>
      <xdr:col>2</xdr:col>
      <xdr:colOff>876300</xdr:colOff>
      <xdr:row>15</xdr:row>
      <xdr:rowOff>28575</xdr:rowOff>
    </xdr:from>
    <xdr:to>
      <xdr:col>4</xdr:col>
      <xdr:colOff>9525</xdr:colOff>
      <xdr:row>15</xdr:row>
      <xdr:rowOff>152400</xdr:rowOff>
    </xdr:to>
    <xdr:pic>
      <xdr:nvPicPr>
        <xdr:cNvPr id="11" name="CheckBox9"/>
        <xdr:cNvPicPr preferRelativeResize="1">
          <a:picLocks noChangeAspect="1"/>
        </xdr:cNvPicPr>
      </xdr:nvPicPr>
      <xdr:blipFill>
        <a:blip r:embed="rId4"/>
        <a:stretch>
          <a:fillRect/>
        </a:stretch>
      </xdr:blipFill>
      <xdr:spPr>
        <a:xfrm>
          <a:off x="3352800" y="2838450"/>
          <a:ext cx="133350" cy="123825"/>
        </a:xfrm>
        <a:prstGeom prst="rect">
          <a:avLst/>
        </a:prstGeom>
        <a:noFill/>
        <a:ln w="9525" cmpd="sng">
          <a:noFill/>
        </a:ln>
      </xdr:spPr>
    </xdr:pic>
    <xdr:clientData fPrintsWithSheet="0"/>
  </xdr:twoCellAnchor>
  <xdr:twoCellAnchor editAs="oneCell">
    <xdr:from>
      <xdr:col>2</xdr:col>
      <xdr:colOff>876300</xdr:colOff>
      <xdr:row>16</xdr:row>
      <xdr:rowOff>28575</xdr:rowOff>
    </xdr:from>
    <xdr:to>
      <xdr:col>4</xdr:col>
      <xdr:colOff>9525</xdr:colOff>
      <xdr:row>16</xdr:row>
      <xdr:rowOff>152400</xdr:rowOff>
    </xdr:to>
    <xdr:pic>
      <xdr:nvPicPr>
        <xdr:cNvPr id="12" name="CheckBox10"/>
        <xdr:cNvPicPr preferRelativeResize="1">
          <a:picLocks noChangeAspect="1"/>
        </xdr:cNvPicPr>
      </xdr:nvPicPr>
      <xdr:blipFill>
        <a:blip r:embed="rId5"/>
        <a:stretch>
          <a:fillRect/>
        </a:stretch>
      </xdr:blipFill>
      <xdr:spPr>
        <a:xfrm>
          <a:off x="3352800" y="3000375"/>
          <a:ext cx="133350" cy="123825"/>
        </a:xfrm>
        <a:prstGeom prst="rect">
          <a:avLst/>
        </a:prstGeom>
        <a:noFill/>
        <a:ln w="9525" cmpd="sng">
          <a:noFill/>
        </a:ln>
      </xdr:spPr>
    </xdr:pic>
    <xdr:clientData fPrintsWithSheet="0"/>
  </xdr:twoCellAnchor>
  <xdr:twoCellAnchor editAs="oneCell">
    <xdr:from>
      <xdr:col>2</xdr:col>
      <xdr:colOff>876300</xdr:colOff>
      <xdr:row>10</xdr:row>
      <xdr:rowOff>28575</xdr:rowOff>
    </xdr:from>
    <xdr:to>
      <xdr:col>4</xdr:col>
      <xdr:colOff>9525</xdr:colOff>
      <xdr:row>10</xdr:row>
      <xdr:rowOff>152400</xdr:rowOff>
    </xdr:to>
    <xdr:pic>
      <xdr:nvPicPr>
        <xdr:cNvPr id="13" name="CheckBox11"/>
        <xdr:cNvPicPr preferRelativeResize="1">
          <a:picLocks noChangeAspect="1"/>
        </xdr:cNvPicPr>
      </xdr:nvPicPr>
      <xdr:blipFill>
        <a:blip r:embed="rId4"/>
        <a:stretch>
          <a:fillRect/>
        </a:stretch>
      </xdr:blipFill>
      <xdr:spPr>
        <a:xfrm>
          <a:off x="3352800" y="2028825"/>
          <a:ext cx="133350" cy="123825"/>
        </a:xfrm>
        <a:prstGeom prst="rect">
          <a:avLst/>
        </a:prstGeom>
        <a:noFill/>
        <a:ln w="9525" cmpd="sng">
          <a:noFill/>
        </a:ln>
      </xdr:spPr>
    </xdr:pic>
    <xdr:clientData fPrintsWithSheet="0"/>
  </xdr:twoCellAnchor>
  <xdr:twoCellAnchor editAs="oneCell">
    <xdr:from>
      <xdr:col>7</xdr:col>
      <xdr:colOff>0</xdr:colOff>
      <xdr:row>10</xdr:row>
      <xdr:rowOff>28575</xdr:rowOff>
    </xdr:from>
    <xdr:to>
      <xdr:col>7</xdr:col>
      <xdr:colOff>133350</xdr:colOff>
      <xdr:row>10</xdr:row>
      <xdr:rowOff>152400</xdr:rowOff>
    </xdr:to>
    <xdr:pic>
      <xdr:nvPicPr>
        <xdr:cNvPr id="14" name="CheckBox4"/>
        <xdr:cNvPicPr preferRelativeResize="1">
          <a:picLocks noChangeAspect="1"/>
        </xdr:cNvPicPr>
      </xdr:nvPicPr>
      <xdr:blipFill>
        <a:blip r:embed="rId4"/>
        <a:stretch>
          <a:fillRect/>
        </a:stretch>
      </xdr:blipFill>
      <xdr:spPr>
        <a:xfrm>
          <a:off x="6829425" y="2028825"/>
          <a:ext cx="133350" cy="123825"/>
        </a:xfrm>
        <a:prstGeom prst="rect">
          <a:avLst/>
        </a:prstGeom>
        <a:noFill/>
        <a:ln w="9525" cmpd="sng">
          <a:noFill/>
        </a:ln>
      </xdr:spPr>
    </xdr:pic>
    <xdr:clientData fPrintsWithSheet="0"/>
  </xdr:twoCellAnchor>
  <xdr:twoCellAnchor editAs="oneCell">
    <xdr:from>
      <xdr:col>7</xdr:col>
      <xdr:colOff>0</xdr:colOff>
      <xdr:row>11</xdr:row>
      <xdr:rowOff>28575</xdr:rowOff>
    </xdr:from>
    <xdr:to>
      <xdr:col>7</xdr:col>
      <xdr:colOff>133350</xdr:colOff>
      <xdr:row>11</xdr:row>
      <xdr:rowOff>152400</xdr:rowOff>
    </xdr:to>
    <xdr:pic>
      <xdr:nvPicPr>
        <xdr:cNvPr id="15" name="CheckBox12"/>
        <xdr:cNvPicPr preferRelativeResize="1">
          <a:picLocks noChangeAspect="1"/>
        </xdr:cNvPicPr>
      </xdr:nvPicPr>
      <xdr:blipFill>
        <a:blip r:embed="rId4"/>
        <a:stretch>
          <a:fillRect/>
        </a:stretch>
      </xdr:blipFill>
      <xdr:spPr>
        <a:xfrm>
          <a:off x="6829425" y="2190750"/>
          <a:ext cx="133350" cy="123825"/>
        </a:xfrm>
        <a:prstGeom prst="rect">
          <a:avLst/>
        </a:prstGeom>
        <a:noFill/>
        <a:ln w="9525" cmpd="sng">
          <a:noFill/>
        </a:ln>
      </xdr:spPr>
    </xdr:pic>
    <xdr:clientData fPrintsWithSheet="0"/>
  </xdr:twoCellAnchor>
  <xdr:twoCellAnchor editAs="oneCell">
    <xdr:from>
      <xdr:col>7</xdr:col>
      <xdr:colOff>0</xdr:colOff>
      <xdr:row>7</xdr:row>
      <xdr:rowOff>28575</xdr:rowOff>
    </xdr:from>
    <xdr:to>
      <xdr:col>7</xdr:col>
      <xdr:colOff>133350</xdr:colOff>
      <xdr:row>7</xdr:row>
      <xdr:rowOff>152400</xdr:rowOff>
    </xdr:to>
    <xdr:pic>
      <xdr:nvPicPr>
        <xdr:cNvPr id="16" name="CheckBox13"/>
        <xdr:cNvPicPr preferRelativeResize="1">
          <a:picLocks noChangeAspect="1"/>
        </xdr:cNvPicPr>
      </xdr:nvPicPr>
      <xdr:blipFill>
        <a:blip r:embed="rId4"/>
        <a:stretch>
          <a:fillRect/>
        </a:stretch>
      </xdr:blipFill>
      <xdr:spPr>
        <a:xfrm>
          <a:off x="6829425" y="1543050"/>
          <a:ext cx="133350" cy="123825"/>
        </a:xfrm>
        <a:prstGeom prst="rect">
          <a:avLst/>
        </a:prstGeom>
        <a:noFill/>
        <a:ln w="9525" cmpd="sng">
          <a:noFill/>
        </a:ln>
      </xdr:spPr>
    </xdr:pic>
    <xdr:clientData fPrintsWithSheet="0"/>
  </xdr:twoCellAnchor>
  <xdr:twoCellAnchor editAs="oneCell">
    <xdr:from>
      <xdr:col>7</xdr:col>
      <xdr:colOff>0</xdr:colOff>
      <xdr:row>8</xdr:row>
      <xdr:rowOff>28575</xdr:rowOff>
    </xdr:from>
    <xdr:to>
      <xdr:col>7</xdr:col>
      <xdr:colOff>133350</xdr:colOff>
      <xdr:row>8</xdr:row>
      <xdr:rowOff>152400</xdr:rowOff>
    </xdr:to>
    <xdr:pic>
      <xdr:nvPicPr>
        <xdr:cNvPr id="17" name="CheckBox14"/>
        <xdr:cNvPicPr preferRelativeResize="1">
          <a:picLocks noChangeAspect="1"/>
        </xdr:cNvPicPr>
      </xdr:nvPicPr>
      <xdr:blipFill>
        <a:blip r:embed="rId4"/>
        <a:stretch>
          <a:fillRect/>
        </a:stretch>
      </xdr:blipFill>
      <xdr:spPr>
        <a:xfrm>
          <a:off x="6829425" y="1704975"/>
          <a:ext cx="133350" cy="123825"/>
        </a:xfrm>
        <a:prstGeom prst="rect">
          <a:avLst/>
        </a:prstGeom>
        <a:noFill/>
        <a:ln w="9525" cmpd="sng">
          <a:noFill/>
        </a:ln>
      </xdr:spPr>
    </xdr:pic>
    <xdr:clientData fPrintsWithSheet="0"/>
  </xdr:twoCellAnchor>
  <xdr:twoCellAnchor editAs="oneCell">
    <xdr:from>
      <xdr:col>7</xdr:col>
      <xdr:colOff>0</xdr:colOff>
      <xdr:row>9</xdr:row>
      <xdr:rowOff>28575</xdr:rowOff>
    </xdr:from>
    <xdr:to>
      <xdr:col>7</xdr:col>
      <xdr:colOff>133350</xdr:colOff>
      <xdr:row>9</xdr:row>
      <xdr:rowOff>152400</xdr:rowOff>
    </xdr:to>
    <xdr:pic>
      <xdr:nvPicPr>
        <xdr:cNvPr id="18" name="CheckBox15"/>
        <xdr:cNvPicPr preferRelativeResize="1">
          <a:picLocks noChangeAspect="1"/>
        </xdr:cNvPicPr>
      </xdr:nvPicPr>
      <xdr:blipFill>
        <a:blip r:embed="rId4"/>
        <a:stretch>
          <a:fillRect/>
        </a:stretch>
      </xdr:blipFill>
      <xdr:spPr>
        <a:xfrm>
          <a:off x="6829425" y="1866900"/>
          <a:ext cx="133350" cy="123825"/>
        </a:xfrm>
        <a:prstGeom prst="rect">
          <a:avLst/>
        </a:prstGeom>
        <a:noFill/>
        <a:ln w="9525" cmpd="sng">
          <a:noFill/>
        </a:ln>
      </xdr:spPr>
    </xdr:pic>
    <xdr:clientData fPrintsWithSheet="0"/>
  </xdr:twoCellAnchor>
  <xdr:twoCellAnchor editAs="oneCell">
    <xdr:from>
      <xdr:col>2</xdr:col>
      <xdr:colOff>876300</xdr:colOff>
      <xdr:row>40</xdr:row>
      <xdr:rowOff>28575</xdr:rowOff>
    </xdr:from>
    <xdr:to>
      <xdr:col>4</xdr:col>
      <xdr:colOff>9525</xdr:colOff>
      <xdr:row>40</xdr:row>
      <xdr:rowOff>152400</xdr:rowOff>
    </xdr:to>
    <xdr:pic>
      <xdr:nvPicPr>
        <xdr:cNvPr id="19" name="CheckBox22"/>
        <xdr:cNvPicPr preferRelativeResize="1">
          <a:picLocks noChangeAspect="1"/>
        </xdr:cNvPicPr>
      </xdr:nvPicPr>
      <xdr:blipFill>
        <a:blip r:embed="rId4"/>
        <a:stretch>
          <a:fillRect/>
        </a:stretch>
      </xdr:blipFill>
      <xdr:spPr>
        <a:xfrm>
          <a:off x="3352800" y="6886575"/>
          <a:ext cx="133350" cy="123825"/>
        </a:xfrm>
        <a:prstGeom prst="rect">
          <a:avLst/>
        </a:prstGeom>
        <a:noFill/>
        <a:ln w="9525" cmpd="sng">
          <a:noFill/>
        </a:ln>
      </xdr:spPr>
    </xdr:pic>
    <xdr:clientData fPrintsWithSheet="0"/>
  </xdr:twoCellAnchor>
  <xdr:twoCellAnchor editAs="oneCell">
    <xdr:from>
      <xdr:col>2</xdr:col>
      <xdr:colOff>876300</xdr:colOff>
      <xdr:row>41</xdr:row>
      <xdr:rowOff>28575</xdr:rowOff>
    </xdr:from>
    <xdr:to>
      <xdr:col>4</xdr:col>
      <xdr:colOff>9525</xdr:colOff>
      <xdr:row>41</xdr:row>
      <xdr:rowOff>152400</xdr:rowOff>
    </xdr:to>
    <xdr:pic>
      <xdr:nvPicPr>
        <xdr:cNvPr id="20" name="CheckBox23"/>
        <xdr:cNvPicPr preferRelativeResize="1">
          <a:picLocks noChangeAspect="1"/>
        </xdr:cNvPicPr>
      </xdr:nvPicPr>
      <xdr:blipFill>
        <a:blip r:embed="rId5"/>
        <a:stretch>
          <a:fillRect/>
        </a:stretch>
      </xdr:blipFill>
      <xdr:spPr>
        <a:xfrm>
          <a:off x="3352800" y="7048500"/>
          <a:ext cx="133350" cy="123825"/>
        </a:xfrm>
        <a:prstGeom prst="rect">
          <a:avLst/>
        </a:prstGeom>
        <a:noFill/>
        <a:ln w="9525" cmpd="sng">
          <a:noFill/>
        </a:ln>
      </xdr:spPr>
    </xdr:pic>
    <xdr:clientData fPrintsWithSheet="0"/>
  </xdr:twoCellAnchor>
  <xdr:twoCellAnchor editAs="oneCell">
    <xdr:from>
      <xdr:col>2</xdr:col>
      <xdr:colOff>876300</xdr:colOff>
      <xdr:row>42</xdr:row>
      <xdr:rowOff>28575</xdr:rowOff>
    </xdr:from>
    <xdr:to>
      <xdr:col>4</xdr:col>
      <xdr:colOff>9525</xdr:colOff>
      <xdr:row>42</xdr:row>
      <xdr:rowOff>152400</xdr:rowOff>
    </xdr:to>
    <xdr:pic>
      <xdr:nvPicPr>
        <xdr:cNvPr id="21" name="CheckBox24"/>
        <xdr:cNvPicPr preferRelativeResize="1">
          <a:picLocks noChangeAspect="1"/>
        </xdr:cNvPicPr>
      </xdr:nvPicPr>
      <xdr:blipFill>
        <a:blip r:embed="rId4"/>
        <a:stretch>
          <a:fillRect/>
        </a:stretch>
      </xdr:blipFill>
      <xdr:spPr>
        <a:xfrm>
          <a:off x="3352800" y="7210425"/>
          <a:ext cx="133350" cy="123825"/>
        </a:xfrm>
        <a:prstGeom prst="rect">
          <a:avLst/>
        </a:prstGeom>
        <a:noFill/>
        <a:ln w="9525" cmpd="sng">
          <a:noFill/>
        </a:ln>
      </xdr:spPr>
    </xdr:pic>
    <xdr:clientData fPrintsWithSheet="0"/>
  </xdr:twoCellAnchor>
  <xdr:twoCellAnchor editAs="oneCell">
    <xdr:from>
      <xdr:col>2</xdr:col>
      <xdr:colOff>876300</xdr:colOff>
      <xdr:row>43</xdr:row>
      <xdr:rowOff>28575</xdr:rowOff>
    </xdr:from>
    <xdr:to>
      <xdr:col>4</xdr:col>
      <xdr:colOff>9525</xdr:colOff>
      <xdr:row>43</xdr:row>
      <xdr:rowOff>152400</xdr:rowOff>
    </xdr:to>
    <xdr:pic>
      <xdr:nvPicPr>
        <xdr:cNvPr id="22" name="CheckBox25"/>
        <xdr:cNvPicPr preferRelativeResize="1">
          <a:picLocks noChangeAspect="1"/>
        </xdr:cNvPicPr>
      </xdr:nvPicPr>
      <xdr:blipFill>
        <a:blip r:embed="rId5"/>
        <a:stretch>
          <a:fillRect/>
        </a:stretch>
      </xdr:blipFill>
      <xdr:spPr>
        <a:xfrm>
          <a:off x="3352800" y="7372350"/>
          <a:ext cx="133350" cy="123825"/>
        </a:xfrm>
        <a:prstGeom prst="rect">
          <a:avLst/>
        </a:prstGeom>
        <a:noFill/>
        <a:ln w="9525" cmpd="sng">
          <a:noFill/>
        </a:ln>
      </xdr:spPr>
    </xdr:pic>
    <xdr:clientData fPrintsWithSheet="0"/>
  </xdr:twoCellAnchor>
  <xdr:twoCellAnchor editAs="oneCell">
    <xdr:from>
      <xdr:col>2</xdr:col>
      <xdr:colOff>876300</xdr:colOff>
      <xdr:row>44</xdr:row>
      <xdr:rowOff>28575</xdr:rowOff>
    </xdr:from>
    <xdr:to>
      <xdr:col>4</xdr:col>
      <xdr:colOff>9525</xdr:colOff>
      <xdr:row>44</xdr:row>
      <xdr:rowOff>152400</xdr:rowOff>
    </xdr:to>
    <xdr:pic>
      <xdr:nvPicPr>
        <xdr:cNvPr id="23" name="CheckBox26"/>
        <xdr:cNvPicPr preferRelativeResize="1">
          <a:picLocks noChangeAspect="1"/>
        </xdr:cNvPicPr>
      </xdr:nvPicPr>
      <xdr:blipFill>
        <a:blip r:embed="rId4"/>
        <a:stretch>
          <a:fillRect/>
        </a:stretch>
      </xdr:blipFill>
      <xdr:spPr>
        <a:xfrm>
          <a:off x="3352800" y="7534275"/>
          <a:ext cx="133350" cy="123825"/>
        </a:xfrm>
        <a:prstGeom prst="rect">
          <a:avLst/>
        </a:prstGeom>
        <a:noFill/>
        <a:ln w="9525" cmpd="sng">
          <a:noFill/>
        </a:ln>
      </xdr:spPr>
    </xdr:pic>
    <xdr:clientData fPrintsWithSheet="0"/>
  </xdr:twoCellAnchor>
  <xdr:twoCellAnchor editAs="oneCell">
    <xdr:from>
      <xdr:col>2</xdr:col>
      <xdr:colOff>876300</xdr:colOff>
      <xdr:row>45</xdr:row>
      <xdr:rowOff>28575</xdr:rowOff>
    </xdr:from>
    <xdr:to>
      <xdr:col>4</xdr:col>
      <xdr:colOff>9525</xdr:colOff>
      <xdr:row>45</xdr:row>
      <xdr:rowOff>152400</xdr:rowOff>
    </xdr:to>
    <xdr:pic>
      <xdr:nvPicPr>
        <xdr:cNvPr id="24" name="CheckBox27"/>
        <xdr:cNvPicPr preferRelativeResize="1">
          <a:picLocks noChangeAspect="1"/>
        </xdr:cNvPicPr>
      </xdr:nvPicPr>
      <xdr:blipFill>
        <a:blip r:embed="rId4"/>
        <a:stretch>
          <a:fillRect/>
        </a:stretch>
      </xdr:blipFill>
      <xdr:spPr>
        <a:xfrm>
          <a:off x="3352800" y="7696200"/>
          <a:ext cx="133350" cy="123825"/>
        </a:xfrm>
        <a:prstGeom prst="rect">
          <a:avLst/>
        </a:prstGeom>
        <a:noFill/>
        <a:ln w="9525" cmpd="sng">
          <a:noFill/>
        </a:ln>
      </xdr:spPr>
    </xdr:pic>
    <xdr:clientData fPrintsWithSheet="0"/>
  </xdr:twoCellAnchor>
  <xdr:twoCellAnchor editAs="oneCell">
    <xdr:from>
      <xdr:col>2</xdr:col>
      <xdr:colOff>876300</xdr:colOff>
      <xdr:row>46</xdr:row>
      <xdr:rowOff>28575</xdr:rowOff>
    </xdr:from>
    <xdr:to>
      <xdr:col>4</xdr:col>
      <xdr:colOff>9525</xdr:colOff>
      <xdr:row>46</xdr:row>
      <xdr:rowOff>152400</xdr:rowOff>
    </xdr:to>
    <xdr:pic>
      <xdr:nvPicPr>
        <xdr:cNvPr id="25" name="CheckBox28"/>
        <xdr:cNvPicPr preferRelativeResize="1">
          <a:picLocks noChangeAspect="1"/>
        </xdr:cNvPicPr>
      </xdr:nvPicPr>
      <xdr:blipFill>
        <a:blip r:embed="rId5"/>
        <a:stretch>
          <a:fillRect/>
        </a:stretch>
      </xdr:blipFill>
      <xdr:spPr>
        <a:xfrm>
          <a:off x="3352800" y="7858125"/>
          <a:ext cx="133350" cy="123825"/>
        </a:xfrm>
        <a:prstGeom prst="rect">
          <a:avLst/>
        </a:prstGeom>
        <a:noFill/>
        <a:ln w="9525" cmpd="sng">
          <a:noFill/>
        </a:ln>
      </xdr:spPr>
    </xdr:pic>
    <xdr:clientData fPrintsWithSheet="0"/>
  </xdr:twoCellAnchor>
  <xdr:twoCellAnchor editAs="oneCell">
    <xdr:from>
      <xdr:col>2</xdr:col>
      <xdr:colOff>876300</xdr:colOff>
      <xdr:row>47</xdr:row>
      <xdr:rowOff>38100</xdr:rowOff>
    </xdr:from>
    <xdr:to>
      <xdr:col>4</xdr:col>
      <xdr:colOff>9525</xdr:colOff>
      <xdr:row>47</xdr:row>
      <xdr:rowOff>161925</xdr:rowOff>
    </xdr:to>
    <xdr:pic>
      <xdr:nvPicPr>
        <xdr:cNvPr id="26" name="CheckBox29"/>
        <xdr:cNvPicPr preferRelativeResize="1">
          <a:picLocks noChangeAspect="1"/>
        </xdr:cNvPicPr>
      </xdr:nvPicPr>
      <xdr:blipFill>
        <a:blip r:embed="rId5"/>
        <a:stretch>
          <a:fillRect/>
        </a:stretch>
      </xdr:blipFill>
      <xdr:spPr>
        <a:xfrm>
          <a:off x="3352800" y="8029575"/>
          <a:ext cx="133350" cy="123825"/>
        </a:xfrm>
        <a:prstGeom prst="rect">
          <a:avLst/>
        </a:prstGeom>
        <a:noFill/>
        <a:ln w="9525" cmpd="sng">
          <a:noFill/>
        </a:ln>
      </xdr:spPr>
    </xdr:pic>
    <xdr:clientData fPrintsWithSheet="0"/>
  </xdr:twoCellAnchor>
  <xdr:twoCellAnchor editAs="oneCell">
    <xdr:from>
      <xdr:col>2</xdr:col>
      <xdr:colOff>876300</xdr:colOff>
      <xdr:row>54</xdr:row>
      <xdr:rowOff>28575</xdr:rowOff>
    </xdr:from>
    <xdr:to>
      <xdr:col>4</xdr:col>
      <xdr:colOff>9525</xdr:colOff>
      <xdr:row>54</xdr:row>
      <xdr:rowOff>152400</xdr:rowOff>
    </xdr:to>
    <xdr:pic>
      <xdr:nvPicPr>
        <xdr:cNvPr id="27" name="CheckBox30"/>
        <xdr:cNvPicPr preferRelativeResize="1">
          <a:picLocks noChangeAspect="1"/>
        </xdr:cNvPicPr>
      </xdr:nvPicPr>
      <xdr:blipFill>
        <a:blip r:embed="rId4"/>
        <a:stretch>
          <a:fillRect/>
        </a:stretch>
      </xdr:blipFill>
      <xdr:spPr>
        <a:xfrm>
          <a:off x="3352800" y="9153525"/>
          <a:ext cx="133350" cy="123825"/>
        </a:xfrm>
        <a:prstGeom prst="rect">
          <a:avLst/>
        </a:prstGeom>
        <a:noFill/>
        <a:ln w="9525" cmpd="sng">
          <a:noFill/>
        </a:ln>
      </xdr:spPr>
    </xdr:pic>
    <xdr:clientData fPrintsWithSheet="0"/>
  </xdr:twoCellAnchor>
  <xdr:twoCellAnchor editAs="oneCell">
    <xdr:from>
      <xdr:col>2</xdr:col>
      <xdr:colOff>876300</xdr:colOff>
      <xdr:row>55</xdr:row>
      <xdr:rowOff>28575</xdr:rowOff>
    </xdr:from>
    <xdr:to>
      <xdr:col>4</xdr:col>
      <xdr:colOff>9525</xdr:colOff>
      <xdr:row>55</xdr:row>
      <xdr:rowOff>152400</xdr:rowOff>
    </xdr:to>
    <xdr:pic>
      <xdr:nvPicPr>
        <xdr:cNvPr id="28" name="CheckBox31"/>
        <xdr:cNvPicPr preferRelativeResize="1">
          <a:picLocks noChangeAspect="1"/>
        </xdr:cNvPicPr>
      </xdr:nvPicPr>
      <xdr:blipFill>
        <a:blip r:embed="rId4"/>
        <a:stretch>
          <a:fillRect/>
        </a:stretch>
      </xdr:blipFill>
      <xdr:spPr>
        <a:xfrm>
          <a:off x="3352800" y="9315450"/>
          <a:ext cx="133350" cy="123825"/>
        </a:xfrm>
        <a:prstGeom prst="rect">
          <a:avLst/>
        </a:prstGeom>
        <a:noFill/>
        <a:ln w="9525" cmpd="sng">
          <a:noFill/>
        </a:ln>
      </xdr:spPr>
    </xdr:pic>
    <xdr:clientData fPrintsWithSheet="0"/>
  </xdr:twoCellAnchor>
  <xdr:twoCellAnchor editAs="oneCell">
    <xdr:from>
      <xdr:col>2</xdr:col>
      <xdr:colOff>876300</xdr:colOff>
      <xdr:row>56</xdr:row>
      <xdr:rowOff>28575</xdr:rowOff>
    </xdr:from>
    <xdr:to>
      <xdr:col>4</xdr:col>
      <xdr:colOff>9525</xdr:colOff>
      <xdr:row>56</xdr:row>
      <xdr:rowOff>152400</xdr:rowOff>
    </xdr:to>
    <xdr:pic>
      <xdr:nvPicPr>
        <xdr:cNvPr id="29" name="CheckBox32"/>
        <xdr:cNvPicPr preferRelativeResize="1">
          <a:picLocks noChangeAspect="1"/>
        </xdr:cNvPicPr>
      </xdr:nvPicPr>
      <xdr:blipFill>
        <a:blip r:embed="rId4"/>
        <a:stretch>
          <a:fillRect/>
        </a:stretch>
      </xdr:blipFill>
      <xdr:spPr>
        <a:xfrm>
          <a:off x="3352800" y="9477375"/>
          <a:ext cx="133350" cy="123825"/>
        </a:xfrm>
        <a:prstGeom prst="rect">
          <a:avLst/>
        </a:prstGeom>
        <a:noFill/>
        <a:ln w="9525" cmpd="sng">
          <a:noFill/>
        </a:ln>
      </xdr:spPr>
    </xdr:pic>
    <xdr:clientData fPrintsWithSheet="0"/>
  </xdr:twoCellAnchor>
  <xdr:twoCellAnchor editAs="oneCell">
    <xdr:from>
      <xdr:col>2</xdr:col>
      <xdr:colOff>876300</xdr:colOff>
      <xdr:row>57</xdr:row>
      <xdr:rowOff>28575</xdr:rowOff>
    </xdr:from>
    <xdr:to>
      <xdr:col>4</xdr:col>
      <xdr:colOff>9525</xdr:colOff>
      <xdr:row>57</xdr:row>
      <xdr:rowOff>152400</xdr:rowOff>
    </xdr:to>
    <xdr:pic>
      <xdr:nvPicPr>
        <xdr:cNvPr id="30" name="CheckBox33"/>
        <xdr:cNvPicPr preferRelativeResize="1">
          <a:picLocks noChangeAspect="1"/>
        </xdr:cNvPicPr>
      </xdr:nvPicPr>
      <xdr:blipFill>
        <a:blip r:embed="rId4"/>
        <a:stretch>
          <a:fillRect/>
        </a:stretch>
      </xdr:blipFill>
      <xdr:spPr>
        <a:xfrm>
          <a:off x="3352800" y="9639300"/>
          <a:ext cx="133350" cy="123825"/>
        </a:xfrm>
        <a:prstGeom prst="rect">
          <a:avLst/>
        </a:prstGeom>
        <a:noFill/>
        <a:ln w="9525" cmpd="sng">
          <a:noFill/>
        </a:ln>
      </xdr:spPr>
    </xdr:pic>
    <xdr:clientData fPrintsWithSheet="0"/>
  </xdr:twoCellAnchor>
  <xdr:twoCellAnchor editAs="oneCell">
    <xdr:from>
      <xdr:col>2</xdr:col>
      <xdr:colOff>876300</xdr:colOff>
      <xdr:row>58</xdr:row>
      <xdr:rowOff>28575</xdr:rowOff>
    </xdr:from>
    <xdr:to>
      <xdr:col>4</xdr:col>
      <xdr:colOff>9525</xdr:colOff>
      <xdr:row>58</xdr:row>
      <xdr:rowOff>152400</xdr:rowOff>
    </xdr:to>
    <xdr:pic>
      <xdr:nvPicPr>
        <xdr:cNvPr id="31" name="CheckBox34"/>
        <xdr:cNvPicPr preferRelativeResize="1">
          <a:picLocks noChangeAspect="1"/>
        </xdr:cNvPicPr>
      </xdr:nvPicPr>
      <xdr:blipFill>
        <a:blip r:embed="rId4"/>
        <a:stretch>
          <a:fillRect/>
        </a:stretch>
      </xdr:blipFill>
      <xdr:spPr>
        <a:xfrm>
          <a:off x="3352800" y="9801225"/>
          <a:ext cx="133350" cy="123825"/>
        </a:xfrm>
        <a:prstGeom prst="rect">
          <a:avLst/>
        </a:prstGeom>
        <a:noFill/>
        <a:ln w="9525" cmpd="sng">
          <a:noFill/>
        </a:ln>
      </xdr:spPr>
    </xdr:pic>
    <xdr:clientData fPrintsWithSheet="0"/>
  </xdr:twoCellAnchor>
  <xdr:twoCellAnchor editAs="oneCell">
    <xdr:from>
      <xdr:col>0</xdr:col>
      <xdr:colOff>1971675</xdr:colOff>
      <xdr:row>51</xdr:row>
      <xdr:rowOff>142875</xdr:rowOff>
    </xdr:from>
    <xdr:to>
      <xdr:col>1</xdr:col>
      <xdr:colOff>447675</xdr:colOff>
      <xdr:row>52</xdr:row>
      <xdr:rowOff>152400</xdr:rowOff>
    </xdr:to>
    <xdr:pic>
      <xdr:nvPicPr>
        <xdr:cNvPr id="32" name="ComboBox1"/>
        <xdr:cNvPicPr preferRelativeResize="1">
          <a:picLocks noChangeAspect="1"/>
        </xdr:cNvPicPr>
      </xdr:nvPicPr>
      <xdr:blipFill>
        <a:blip r:embed="rId6"/>
        <a:stretch>
          <a:fillRect/>
        </a:stretch>
      </xdr:blipFill>
      <xdr:spPr>
        <a:xfrm>
          <a:off x="1971675" y="8782050"/>
          <a:ext cx="457200" cy="171450"/>
        </a:xfrm>
        <a:prstGeom prst="rect">
          <a:avLst/>
        </a:prstGeom>
        <a:noFill/>
        <a:ln w="9525" cmpd="sng">
          <a:noFill/>
        </a:ln>
      </xdr:spPr>
    </xdr:pic>
    <xdr:clientData fPrintsWithSheet="0"/>
  </xdr:twoCellAnchor>
  <xdr:twoCellAnchor editAs="oneCell">
    <xdr:from>
      <xdr:col>5</xdr:col>
      <xdr:colOff>0</xdr:colOff>
      <xdr:row>3</xdr:row>
      <xdr:rowOff>152400</xdr:rowOff>
    </xdr:from>
    <xdr:to>
      <xdr:col>5</xdr:col>
      <xdr:colOff>466725</xdr:colOff>
      <xdr:row>5</xdr:row>
      <xdr:rowOff>0</xdr:rowOff>
    </xdr:to>
    <xdr:pic>
      <xdr:nvPicPr>
        <xdr:cNvPr id="33" name="ComboBox6"/>
        <xdr:cNvPicPr preferRelativeResize="1">
          <a:picLocks noChangeAspect="1"/>
        </xdr:cNvPicPr>
      </xdr:nvPicPr>
      <xdr:blipFill>
        <a:blip r:embed="rId7"/>
        <a:stretch>
          <a:fillRect/>
        </a:stretch>
      </xdr:blipFill>
      <xdr:spPr>
        <a:xfrm>
          <a:off x="5457825" y="1019175"/>
          <a:ext cx="466725" cy="171450"/>
        </a:xfrm>
        <a:prstGeom prst="rect">
          <a:avLst/>
        </a:prstGeom>
        <a:noFill/>
        <a:ln w="9525" cmpd="sng">
          <a:noFill/>
        </a:ln>
      </xdr:spPr>
    </xdr:pic>
    <xdr:clientData fPrintsWithSheet="0"/>
  </xdr:twoCellAnchor>
  <xdr:twoCellAnchor editAs="oneCell">
    <xdr:from>
      <xdr:col>2</xdr:col>
      <xdr:colOff>876300</xdr:colOff>
      <xdr:row>39</xdr:row>
      <xdr:rowOff>28575</xdr:rowOff>
    </xdr:from>
    <xdr:to>
      <xdr:col>4</xdr:col>
      <xdr:colOff>9525</xdr:colOff>
      <xdr:row>39</xdr:row>
      <xdr:rowOff>152400</xdr:rowOff>
    </xdr:to>
    <xdr:pic>
      <xdr:nvPicPr>
        <xdr:cNvPr id="34" name="CheckBox16"/>
        <xdr:cNvPicPr preferRelativeResize="1">
          <a:picLocks noChangeAspect="1"/>
        </xdr:cNvPicPr>
      </xdr:nvPicPr>
      <xdr:blipFill>
        <a:blip r:embed="rId5"/>
        <a:stretch>
          <a:fillRect/>
        </a:stretch>
      </xdr:blipFill>
      <xdr:spPr>
        <a:xfrm>
          <a:off x="3352800" y="6724650"/>
          <a:ext cx="133350" cy="123825"/>
        </a:xfrm>
        <a:prstGeom prst="rect">
          <a:avLst/>
        </a:prstGeom>
        <a:noFill/>
        <a:ln w="9525" cmpd="sng">
          <a:noFill/>
        </a:ln>
      </xdr:spPr>
    </xdr:pic>
    <xdr:clientData fPrintsWithSheet="0"/>
  </xdr:twoCellAnchor>
  <xdr:twoCellAnchor editAs="oneCell">
    <xdr:from>
      <xdr:col>2</xdr:col>
      <xdr:colOff>876300</xdr:colOff>
      <xdr:row>38</xdr:row>
      <xdr:rowOff>28575</xdr:rowOff>
    </xdr:from>
    <xdr:to>
      <xdr:col>4</xdr:col>
      <xdr:colOff>9525</xdr:colOff>
      <xdr:row>38</xdr:row>
      <xdr:rowOff>152400</xdr:rowOff>
    </xdr:to>
    <xdr:pic>
      <xdr:nvPicPr>
        <xdr:cNvPr id="35" name="CheckBox17"/>
        <xdr:cNvPicPr preferRelativeResize="1">
          <a:picLocks noChangeAspect="1"/>
        </xdr:cNvPicPr>
      </xdr:nvPicPr>
      <xdr:blipFill>
        <a:blip r:embed="rId5"/>
        <a:stretch>
          <a:fillRect/>
        </a:stretch>
      </xdr:blipFill>
      <xdr:spPr>
        <a:xfrm>
          <a:off x="3352800" y="6562725"/>
          <a:ext cx="133350" cy="123825"/>
        </a:xfrm>
        <a:prstGeom prst="rect">
          <a:avLst/>
        </a:prstGeom>
        <a:noFill/>
        <a:ln w="9525" cmpd="sng">
          <a:noFill/>
        </a:ln>
      </xdr:spPr>
    </xdr:pic>
    <xdr:clientData fPrintsWithSheet="0"/>
  </xdr:twoCellAnchor>
  <xdr:twoCellAnchor editAs="oneCell">
    <xdr:from>
      <xdr:col>5</xdr:col>
      <xdr:colOff>219075</xdr:colOff>
      <xdr:row>39</xdr:row>
      <xdr:rowOff>76200</xdr:rowOff>
    </xdr:from>
    <xdr:to>
      <xdr:col>6</xdr:col>
      <xdr:colOff>819150</xdr:colOff>
      <xdr:row>41</xdr:row>
      <xdr:rowOff>85725</xdr:rowOff>
    </xdr:to>
    <xdr:pic>
      <xdr:nvPicPr>
        <xdr:cNvPr id="36" name="CommandButton2"/>
        <xdr:cNvPicPr preferRelativeResize="1">
          <a:picLocks noChangeAspect="1"/>
        </xdr:cNvPicPr>
      </xdr:nvPicPr>
      <xdr:blipFill>
        <a:blip r:embed="rId8"/>
        <a:stretch>
          <a:fillRect/>
        </a:stretch>
      </xdr:blipFill>
      <xdr:spPr>
        <a:xfrm>
          <a:off x="5676900" y="6772275"/>
          <a:ext cx="1095375" cy="33337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28575</xdr:rowOff>
    </xdr:from>
    <xdr:to>
      <xdr:col>2</xdr:col>
      <xdr:colOff>304800</xdr:colOff>
      <xdr:row>1</xdr:row>
      <xdr:rowOff>1743075</xdr:rowOff>
    </xdr:to>
    <xdr:sp>
      <xdr:nvSpPr>
        <xdr:cNvPr id="1" name="Text Box 4"/>
        <xdr:cNvSpPr txBox="1">
          <a:spLocks noChangeArrowheads="1"/>
        </xdr:cNvSpPr>
      </xdr:nvSpPr>
      <xdr:spPr>
        <a:xfrm>
          <a:off x="28575" y="723900"/>
          <a:ext cx="3600450" cy="17145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Compensi spettanti al Dott. Architetto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Iscritto all'ordine degli architetti della provincia di …………………... al n. </a:t>
          </a:r>
        </a:p>
      </xdr:txBody>
    </xdr:sp>
    <xdr:clientData/>
  </xdr:twoCellAnchor>
  <xdr:twoCellAnchor>
    <xdr:from>
      <xdr:col>2</xdr:col>
      <xdr:colOff>342900</xdr:colOff>
      <xdr:row>1</xdr:row>
      <xdr:rowOff>0</xdr:rowOff>
    </xdr:from>
    <xdr:to>
      <xdr:col>5</xdr:col>
      <xdr:colOff>0</xdr:colOff>
      <xdr:row>1</xdr:row>
      <xdr:rowOff>1743075</xdr:rowOff>
    </xdr:to>
    <xdr:sp>
      <xdr:nvSpPr>
        <xdr:cNvPr id="2" name="Text Box 5"/>
        <xdr:cNvSpPr txBox="1">
          <a:spLocks noChangeArrowheads="1"/>
        </xdr:cNvSpPr>
      </xdr:nvSpPr>
      <xdr:spPr>
        <a:xfrm>
          <a:off x="3667125" y="695325"/>
          <a:ext cx="3038475" cy="1743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OPERA REALIZZATA: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COMMITTENTE: ………………………………………………….
</a:t>
          </a:r>
          <a:r>
            <a:rPr lang="en-US" cap="none" sz="1000" b="1" i="0" u="none" baseline="0">
              <a:solidFill>
                <a:srgbClr val="000000"/>
              </a:solidFill>
              <a:latin typeface="Arial"/>
              <a:ea typeface="Arial"/>
              <a:cs typeface="Arial"/>
            </a:rPr>
            <a:t>Responsabile del Procedimento:……………………………….
</a:t>
          </a:r>
          <a:r>
            <a:rPr lang="en-US" cap="none" sz="1000" b="1" i="0" u="none" baseline="0">
              <a:solidFill>
                <a:srgbClr val="000000"/>
              </a:solidFill>
              <a:latin typeface="Arial"/>
              <a:ea typeface="Arial"/>
              <a:cs typeface="Arial"/>
            </a:rPr>
            <a:t>                                                Data:………………..</a:t>
          </a:r>
        </a:p>
      </xdr:txBody>
    </xdr:sp>
    <xdr:clientData/>
  </xdr:twoCellAnchor>
  <xdr:twoCellAnchor editAs="oneCell">
    <xdr:from>
      <xdr:col>4</xdr:col>
      <xdr:colOff>247650</xdr:colOff>
      <xdr:row>21</xdr:row>
      <xdr:rowOff>104775</xdr:rowOff>
    </xdr:from>
    <xdr:to>
      <xdr:col>4</xdr:col>
      <xdr:colOff>1400175</xdr:colOff>
      <xdr:row>21</xdr:row>
      <xdr:rowOff>523875</xdr:rowOff>
    </xdr:to>
    <xdr:pic>
      <xdr:nvPicPr>
        <xdr:cNvPr id="3" name="CommandButton1"/>
        <xdr:cNvPicPr preferRelativeResize="1">
          <a:picLocks noChangeAspect="1"/>
        </xdr:cNvPicPr>
      </xdr:nvPicPr>
      <xdr:blipFill>
        <a:blip r:embed="rId1"/>
        <a:stretch>
          <a:fillRect/>
        </a:stretch>
      </xdr:blipFill>
      <xdr:spPr>
        <a:xfrm>
          <a:off x="5429250" y="6505575"/>
          <a:ext cx="1152525" cy="4191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istruzioni.pdf"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Foglio5">
    <tabColor indexed="40"/>
  </sheetPr>
  <dimension ref="A1:A1"/>
  <sheetViews>
    <sheetView zoomScalePageLayoutView="0" workbookViewId="0" topLeftCell="A1">
      <selection activeCell="A14" sqref="A14"/>
    </sheetView>
  </sheetViews>
  <sheetFormatPr defaultColWidth="8.8515625" defaultRowHeight="12.75"/>
  <cols>
    <col min="1" max="1" width="63.8515625" style="0" customWidth="1"/>
  </cols>
  <sheetData>
    <row r="1" ht="41.25" customHeight="1">
      <c r="A1" s="791" t="s">
        <v>37</v>
      </c>
    </row>
  </sheetData>
  <sheetProtection/>
  <hyperlinks>
    <hyperlink ref="A1" r:id="rId1" display="ISTRUZIONI PER LA VISUALIZZAZIONE"/>
  </hyperlink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Foglio124"/>
  <dimension ref="A1:AX213"/>
  <sheetViews>
    <sheetView zoomScale="130" zoomScaleNormal="130" zoomScaleSheetLayoutView="115" zoomScalePageLayoutView="0" workbookViewId="0" topLeftCell="A5">
      <selection activeCell="C14" sqref="C14"/>
    </sheetView>
  </sheetViews>
  <sheetFormatPr defaultColWidth="9.140625" defaultRowHeight="12.75"/>
  <cols>
    <col min="1" max="1" width="34.421875" style="36" customWidth="1"/>
    <col min="2" max="2" width="7.421875" style="6" customWidth="1"/>
    <col min="3" max="3" width="13.28125" style="6" customWidth="1"/>
    <col min="4" max="4" width="0.71875" style="6" customWidth="1"/>
    <col min="5" max="5" width="1.28515625" style="6" customWidth="1"/>
    <col min="6" max="6" width="32.28125" style="6" customWidth="1"/>
    <col min="7" max="7" width="7.421875" style="6" customWidth="1"/>
    <col min="8" max="8" width="12.7109375" style="6" customWidth="1"/>
    <col min="9" max="9" width="5.00390625" style="6" customWidth="1"/>
    <col min="10" max="10" width="3.00390625" style="6" customWidth="1"/>
    <col min="11" max="11" width="7.421875" style="6" hidden="1" customWidth="1"/>
    <col min="12" max="12" width="8.00390625" style="6" hidden="1" customWidth="1"/>
    <col min="13" max="13" width="8.421875" style="6" hidden="1" customWidth="1"/>
    <col min="14" max="14" width="7.7109375" style="6" hidden="1" customWidth="1"/>
    <col min="15" max="15" width="7.00390625" style="6" hidden="1" customWidth="1"/>
    <col min="16" max="16" width="4.421875" style="6" customWidth="1"/>
    <col min="17" max="17" width="3.7109375" style="6" customWidth="1"/>
    <col min="18" max="18" width="4.8515625" style="6" customWidth="1"/>
    <col min="19" max="19" width="3.7109375" style="6" customWidth="1"/>
    <col min="20" max="21" width="3.140625" style="6" customWidth="1"/>
    <col min="22" max="22" width="3.28125" style="6" customWidth="1"/>
    <col min="23" max="23" width="3.421875" style="6" customWidth="1"/>
    <col min="24" max="24" width="3.140625" style="6" customWidth="1"/>
    <col min="25" max="25" width="3.8515625" style="6" customWidth="1"/>
    <col min="26" max="26" width="3.28125" style="6" customWidth="1"/>
    <col min="27" max="27" width="3.421875" style="6" customWidth="1"/>
    <col min="28" max="28" width="4.00390625" style="6" customWidth="1"/>
    <col min="29" max="32" width="9.140625" style="6" customWidth="1"/>
    <col min="33" max="33" width="3.8515625" style="6" customWidth="1"/>
    <col min="34" max="34" width="11.8515625" style="6" customWidth="1"/>
    <col min="35" max="35" width="13.7109375" style="6" customWidth="1"/>
    <col min="36" max="48" width="9.140625" style="6" customWidth="1"/>
    <col min="49" max="49" width="8.8515625" style="6" customWidth="1"/>
    <col min="50" max="50" width="27.00390625" style="6" customWidth="1"/>
    <col min="51" max="16384" width="9.140625" style="6" customWidth="1"/>
  </cols>
  <sheetData>
    <row r="1" spans="1:24" ht="22.5" customHeight="1">
      <c r="A1" s="178"/>
      <c r="B1" s="178"/>
      <c r="C1" s="178"/>
      <c r="D1" s="178"/>
      <c r="E1" s="178"/>
      <c r="F1" s="178"/>
      <c r="G1" s="178"/>
      <c r="H1" s="178"/>
      <c r="I1" s="142"/>
      <c r="J1" s="142"/>
      <c r="K1" s="406" t="s">
        <v>149</v>
      </c>
      <c r="L1" s="147"/>
      <c r="M1" s="399">
        <f>C12*1936.27</f>
        <v>193627</v>
      </c>
      <c r="O1" s="19"/>
      <c r="P1" s="19"/>
      <c r="Q1" s="19"/>
      <c r="R1" s="19"/>
      <c r="S1" s="19"/>
      <c r="T1" s="19"/>
      <c r="U1" s="19"/>
      <c r="V1" s="19"/>
      <c r="W1" s="19"/>
      <c r="X1" s="19"/>
    </row>
    <row r="2" spans="1:50" ht="24" customHeight="1">
      <c r="A2" s="293"/>
      <c r="B2" s="294"/>
      <c r="C2" s="294"/>
      <c r="D2" s="294"/>
      <c r="E2" s="294"/>
      <c r="F2" s="294"/>
      <c r="G2" s="294"/>
      <c r="H2" s="295"/>
      <c r="I2" s="142"/>
      <c r="J2" s="142"/>
      <c r="K2" s="704"/>
      <c r="L2" s="704"/>
      <c r="M2" s="399"/>
      <c r="N2" s="19"/>
      <c r="O2" s="19"/>
      <c r="P2" s="19"/>
      <c r="Q2" s="19"/>
      <c r="R2" s="19"/>
      <c r="S2" s="19"/>
      <c r="T2" s="19"/>
      <c r="U2" s="19"/>
      <c r="V2" s="19"/>
      <c r="W2" s="19"/>
      <c r="X2" s="19"/>
      <c r="AX2" s="278" t="s">
        <v>212</v>
      </c>
    </row>
    <row r="3" spans="1:50" ht="12.75" customHeight="1">
      <c r="A3" s="809"/>
      <c r="B3" s="802"/>
      <c r="C3" s="683"/>
      <c r="D3" s="803"/>
      <c r="E3" s="280"/>
      <c r="F3" s="806"/>
      <c r="G3" s="683"/>
      <c r="H3" s="807"/>
      <c r="I3" s="142"/>
      <c r="J3" s="142"/>
      <c r="K3" s="19"/>
      <c r="L3" s="147"/>
      <c r="M3" s="390">
        <v>25822.844954474323</v>
      </c>
      <c r="N3" s="19"/>
      <c r="O3" s="19"/>
      <c r="P3" s="19"/>
      <c r="Q3" s="19"/>
      <c r="R3" s="19"/>
      <c r="S3" s="19"/>
      <c r="T3" s="19"/>
      <c r="U3" s="19"/>
      <c r="V3" s="19"/>
      <c r="W3" s="19"/>
      <c r="X3" s="19"/>
      <c r="AX3" s="681" t="s">
        <v>194</v>
      </c>
    </row>
    <row r="4" spans="1:50" ht="11.25" customHeight="1">
      <c r="A4" s="810" t="s">
        <v>156</v>
      </c>
      <c r="B4" s="804"/>
      <c r="C4" s="479"/>
      <c r="D4" s="805"/>
      <c r="E4" s="281"/>
      <c r="F4" s="810" t="s">
        <v>40</v>
      </c>
      <c r="G4" s="479"/>
      <c r="H4" s="808"/>
      <c r="I4" s="142"/>
      <c r="J4" s="142"/>
      <c r="K4" s="19"/>
      <c r="L4" s="147"/>
      <c r="M4" s="390">
        <v>51645689.90894865</v>
      </c>
      <c r="N4" s="19"/>
      <c r="O4" s="19"/>
      <c r="P4" s="19"/>
      <c r="Q4" s="19"/>
      <c r="R4" s="19"/>
      <c r="S4" s="19"/>
      <c r="T4" s="19"/>
      <c r="U4" s="19"/>
      <c r="V4" s="19"/>
      <c r="W4" s="19"/>
      <c r="X4" s="19"/>
      <c r="AX4" s="681" t="s">
        <v>195</v>
      </c>
    </row>
    <row r="5" spans="1:50" ht="6.75" customHeight="1">
      <c r="A5" s="810"/>
      <c r="B5" s="804"/>
      <c r="C5" s="479"/>
      <c r="D5" s="805"/>
      <c r="E5" s="281"/>
      <c r="F5" s="810"/>
      <c r="G5" s="479"/>
      <c r="H5" s="808"/>
      <c r="I5" s="142"/>
      <c r="J5" s="142"/>
      <c r="K5" s="19"/>
      <c r="L5" s="147"/>
      <c r="M5" s="106">
        <v>32.6375</v>
      </c>
      <c r="N5" s="19"/>
      <c r="O5" s="19"/>
      <c r="P5" s="39"/>
      <c r="Q5" s="19"/>
      <c r="R5" s="19"/>
      <c r="S5" s="19"/>
      <c r="T5" s="19"/>
      <c r="U5" s="19"/>
      <c r="V5" s="19"/>
      <c r="W5" s="19"/>
      <c r="X5" s="19"/>
      <c r="AX5" s="681" t="s">
        <v>196</v>
      </c>
    </row>
    <row r="6" spans="1:50" ht="10.5" customHeight="1">
      <c r="A6" s="815"/>
      <c r="B6" s="804"/>
      <c r="C6" s="479"/>
      <c r="D6" s="805"/>
      <c r="E6" s="281"/>
      <c r="F6" s="810" t="s">
        <v>41</v>
      </c>
      <c r="G6" s="479"/>
      <c r="H6" s="808"/>
      <c r="I6" s="142"/>
      <c r="J6" s="142"/>
      <c r="K6" s="19"/>
      <c r="L6" s="147"/>
      <c r="M6" s="106">
        <v>6.0967</v>
      </c>
      <c r="N6" s="19"/>
      <c r="O6" s="19"/>
      <c r="P6" s="19"/>
      <c r="Q6" s="19"/>
      <c r="R6" s="19"/>
      <c r="S6" s="19"/>
      <c r="T6" s="19"/>
      <c r="U6" s="19"/>
      <c r="V6" s="19"/>
      <c r="W6" s="19"/>
      <c r="X6" s="19"/>
      <c r="AX6" s="681" t="s">
        <v>197</v>
      </c>
    </row>
    <row r="7" spans="1:24" ht="10.5" customHeight="1">
      <c r="A7" s="810" t="s">
        <v>157</v>
      </c>
      <c r="B7" s="804"/>
      <c r="C7" s="479"/>
      <c r="D7" s="805"/>
      <c r="E7" s="281"/>
      <c r="F7" s="810"/>
      <c r="G7" s="479"/>
      <c r="H7" s="808"/>
      <c r="I7" s="142"/>
      <c r="J7" s="142"/>
      <c r="K7" s="19"/>
      <c r="L7" s="147"/>
      <c r="M7" s="106">
        <v>4.806</v>
      </c>
      <c r="N7" s="19"/>
      <c r="O7" s="19"/>
      <c r="P7" s="19"/>
      <c r="Q7" s="19"/>
      <c r="R7" s="19"/>
      <c r="S7" s="19"/>
      <c r="T7" s="19"/>
      <c r="U7" s="19"/>
      <c r="V7" s="19"/>
      <c r="W7" s="19"/>
      <c r="X7" s="19"/>
    </row>
    <row r="8" spans="1:24" ht="11.25" customHeight="1">
      <c r="A8" s="810" t="s">
        <v>158</v>
      </c>
      <c r="B8" s="804"/>
      <c r="C8" s="479"/>
      <c r="D8" s="805"/>
      <c r="E8" s="281"/>
      <c r="F8" s="810" t="s">
        <v>42</v>
      </c>
      <c r="G8" s="479"/>
      <c r="H8" s="808"/>
      <c r="I8" s="142"/>
      <c r="J8" s="142"/>
      <c r="K8" s="19"/>
      <c r="L8" s="147"/>
      <c r="M8" s="106">
        <v>-0.404028835</v>
      </c>
      <c r="N8" s="19"/>
      <c r="O8" s="19"/>
      <c r="P8" s="19"/>
      <c r="Q8" s="19"/>
      <c r="R8" s="19"/>
      <c r="S8" s="19"/>
      <c r="T8" s="19"/>
      <c r="U8" s="19"/>
      <c r="V8" s="19"/>
      <c r="W8" s="19"/>
      <c r="X8" s="19"/>
    </row>
    <row r="9" spans="1:24" ht="9.75" customHeight="1">
      <c r="A9" s="811"/>
      <c r="B9" s="812"/>
      <c r="C9" s="702"/>
      <c r="D9" s="813"/>
      <c r="E9" s="283"/>
      <c r="F9" s="702"/>
      <c r="G9" s="702"/>
      <c r="H9" s="814"/>
      <c r="I9" s="142"/>
      <c r="J9" s="142"/>
      <c r="K9" s="19"/>
      <c r="L9" s="147"/>
      <c r="M9" s="313">
        <v>4.555142495</v>
      </c>
      <c r="N9" s="19"/>
      <c r="O9" s="19"/>
      <c r="P9" s="19"/>
      <c r="Q9" s="19"/>
      <c r="R9" s="19"/>
      <c r="S9" s="19"/>
      <c r="T9" s="19"/>
      <c r="U9" s="19"/>
      <c r="V9" s="19"/>
      <c r="W9" s="19"/>
      <c r="X9" s="19"/>
    </row>
    <row r="10" spans="1:24" ht="9.75" customHeight="1" hidden="1">
      <c r="A10" s="296"/>
      <c r="B10" s="112"/>
      <c r="C10" s="142"/>
      <c r="D10" s="169"/>
      <c r="E10" s="169"/>
      <c r="F10" s="142"/>
      <c r="G10" s="142"/>
      <c r="H10" s="282"/>
      <c r="I10" s="142"/>
      <c r="J10" s="142"/>
      <c r="K10" s="19"/>
      <c r="L10" s="147"/>
      <c r="M10" s="314" t="s">
        <v>347</v>
      </c>
      <c r="N10" s="19"/>
      <c r="O10" s="19"/>
      <c r="P10" s="19"/>
      <c r="Q10" s="19"/>
      <c r="R10" s="19"/>
      <c r="S10" s="19"/>
      <c r="T10" s="19"/>
      <c r="U10" s="19"/>
      <c r="V10" s="19"/>
      <c r="W10" s="19"/>
      <c r="X10" s="19"/>
    </row>
    <row r="11" spans="1:24" ht="23.25" customHeight="1">
      <c r="A11" s="183"/>
      <c r="B11" s="184" t="s">
        <v>382</v>
      </c>
      <c r="C11" s="816" t="s">
        <v>181</v>
      </c>
      <c r="D11" s="817"/>
      <c r="E11" s="262"/>
      <c r="F11" s="315" t="s">
        <v>214</v>
      </c>
      <c r="G11" s="316"/>
      <c r="H11" s="317"/>
      <c r="I11" s="145"/>
      <c r="J11" s="146"/>
      <c r="K11" s="151"/>
      <c r="L11" s="176"/>
      <c r="M11" s="106">
        <v>0.03</v>
      </c>
      <c r="N11" s="143"/>
      <c r="O11" s="142"/>
      <c r="P11" s="19"/>
      <c r="Q11" s="19"/>
      <c r="R11" s="19"/>
      <c r="S11" s="19"/>
      <c r="T11" s="144"/>
      <c r="U11" s="19"/>
      <c r="V11" s="19"/>
      <c r="W11" s="19"/>
      <c r="X11" s="19"/>
    </row>
    <row r="12" spans="1:24" ht="17.25" customHeight="1">
      <c r="A12" s="185" t="s">
        <v>306</v>
      </c>
      <c r="B12" s="243" t="s">
        <v>259</v>
      </c>
      <c r="C12" s="769">
        <v>100</v>
      </c>
      <c r="D12" s="246"/>
      <c r="E12" s="252"/>
      <c r="F12" s="318" t="s">
        <v>215</v>
      </c>
      <c r="G12" s="319">
        <f aca="true" t="shared" si="0" ref="G12:G28">IF((L50*1)&lt;&gt;0,M11*L50,L50*1)</f>
        <v>0</v>
      </c>
      <c r="H12" s="320"/>
      <c r="I12" s="145"/>
      <c r="J12" s="146"/>
      <c r="K12" s="151"/>
      <c r="L12" s="170"/>
      <c r="M12" s="106">
        <v>0.07</v>
      </c>
      <c r="N12" s="145"/>
      <c r="O12" s="146"/>
      <c r="P12" s="106"/>
      <c r="Q12" s="147"/>
      <c r="R12" s="147"/>
      <c r="S12" s="19"/>
      <c r="T12" s="106"/>
      <c r="U12" s="19"/>
      <c r="V12" s="19"/>
      <c r="W12" s="19"/>
      <c r="X12" s="19"/>
    </row>
    <row r="13" spans="1:24" ht="12" customHeight="1">
      <c r="A13" s="321" t="s">
        <v>377</v>
      </c>
      <c r="B13" s="193">
        <f>IF(M1&lt;50000000,50000000^M8*10^M9+M7,M1^M8*10^M9+M7)</f>
        <v>32.63749999037166</v>
      </c>
      <c r="C13" s="142"/>
      <c r="D13" s="253"/>
      <c r="E13" s="322"/>
      <c r="F13" s="215" t="s">
        <v>216</v>
      </c>
      <c r="G13" s="319">
        <f t="shared" si="0"/>
        <v>0</v>
      </c>
      <c r="H13" s="228"/>
      <c r="I13" s="145"/>
      <c r="J13" s="146"/>
      <c r="K13" s="151"/>
      <c r="L13" s="170"/>
      <c r="M13" s="106">
        <v>0.03</v>
      </c>
      <c r="N13" s="145"/>
      <c r="O13" s="146"/>
      <c r="P13" s="106"/>
      <c r="Q13" s="147"/>
      <c r="R13" s="147"/>
      <c r="S13" s="19"/>
      <c r="T13" s="106"/>
      <c r="U13" s="19"/>
      <c r="V13" s="19"/>
      <c r="W13" s="19"/>
      <c r="X13" s="19"/>
    </row>
    <row r="14" spans="1:24" ht="12" customHeight="1">
      <c r="A14" s="17" t="s">
        <v>217</v>
      </c>
      <c r="B14" s="196">
        <f aca="true" t="shared" si="1" ref="B14:B24">IF(C14&lt;&gt;0,L14*L14*C14,L14*M29)</f>
        <v>0</v>
      </c>
      <c r="C14" s="142"/>
      <c r="D14" s="253"/>
      <c r="E14" s="323"/>
      <c r="F14" s="226" t="s">
        <v>218</v>
      </c>
      <c r="G14" s="319">
        <f t="shared" si="0"/>
        <v>0</v>
      </c>
      <c r="H14" s="230"/>
      <c r="I14" s="145"/>
      <c r="J14" s="146"/>
      <c r="K14" s="151"/>
      <c r="L14" s="171" t="b">
        <v>0</v>
      </c>
      <c r="M14" s="106">
        <v>0.015</v>
      </c>
      <c r="N14" s="145"/>
      <c r="O14" s="146"/>
      <c r="P14" s="106"/>
      <c r="Q14" s="147"/>
      <c r="R14" s="147"/>
      <c r="S14" s="19"/>
      <c r="T14" s="106"/>
      <c r="U14" s="19"/>
      <c r="V14" s="19"/>
      <c r="W14" s="19"/>
      <c r="X14" s="19"/>
    </row>
    <row r="15" spans="1:24" ht="12" customHeight="1">
      <c r="A15" s="17" t="s">
        <v>219</v>
      </c>
      <c r="B15" s="196">
        <f t="shared" si="1"/>
        <v>0</v>
      </c>
      <c r="C15" s="142"/>
      <c r="D15" s="19"/>
      <c r="E15" s="31"/>
      <c r="F15" s="226" t="s">
        <v>220</v>
      </c>
      <c r="G15" s="319">
        <f t="shared" si="0"/>
        <v>0</v>
      </c>
      <c r="H15" s="231"/>
      <c r="I15" s="145"/>
      <c r="J15" s="148"/>
      <c r="K15" s="171" t="e">
        <f>#REF!</f>
        <v>#REF!</v>
      </c>
      <c r="L15" s="172" t="b">
        <v>0</v>
      </c>
      <c r="M15" s="106">
        <v>0.015</v>
      </c>
      <c r="N15" s="145"/>
      <c r="O15" s="146"/>
      <c r="P15" s="106"/>
      <c r="Q15" s="147"/>
      <c r="R15" s="147"/>
      <c r="S15" s="19"/>
      <c r="T15" s="106"/>
      <c r="U15" s="19"/>
      <c r="V15" s="19"/>
      <c r="W15" s="19"/>
      <c r="X15" s="19"/>
    </row>
    <row r="16" spans="1:24" ht="12" customHeight="1">
      <c r="A16" s="17" t="s">
        <v>221</v>
      </c>
      <c r="B16" s="196">
        <f t="shared" si="1"/>
        <v>0</v>
      </c>
      <c r="C16" s="142"/>
      <c r="D16" s="169"/>
      <c r="E16" s="281"/>
      <c r="F16" s="226" t="s">
        <v>222</v>
      </c>
      <c r="G16" s="319">
        <f t="shared" si="0"/>
        <v>0</v>
      </c>
      <c r="H16" s="230"/>
      <c r="I16" s="145"/>
      <c r="J16" s="148"/>
      <c r="K16" s="171">
        <f aca="true" t="shared" si="2" ref="K16:K24">D16</f>
        <v>0</v>
      </c>
      <c r="L16" s="172" t="b">
        <v>0</v>
      </c>
      <c r="M16" s="106">
        <v>0.015</v>
      </c>
      <c r="N16" s="145"/>
      <c r="O16" s="148"/>
      <c r="P16" s="106"/>
      <c r="Q16" s="147"/>
      <c r="R16" s="147"/>
      <c r="S16" s="106"/>
      <c r="T16" s="106"/>
      <c r="U16" s="19"/>
      <c r="V16" s="19"/>
      <c r="W16" s="106"/>
      <c r="X16" s="19"/>
    </row>
    <row r="17" spans="1:24" ht="12" customHeight="1">
      <c r="A17" s="17" t="s">
        <v>223</v>
      </c>
      <c r="B17" s="196">
        <f t="shared" si="1"/>
        <v>0</v>
      </c>
      <c r="C17" s="142"/>
      <c r="D17" s="169"/>
      <c r="E17" s="281"/>
      <c r="F17" s="226" t="s">
        <v>224</v>
      </c>
      <c r="G17" s="319">
        <f t="shared" si="0"/>
        <v>0</v>
      </c>
      <c r="H17" s="228"/>
      <c r="I17" s="145"/>
      <c r="J17" s="148"/>
      <c r="K17" s="171">
        <f t="shared" si="2"/>
        <v>0</v>
      </c>
      <c r="L17" s="172" t="b">
        <v>0</v>
      </c>
      <c r="M17" s="106">
        <v>0.015</v>
      </c>
      <c r="N17" s="145"/>
      <c r="O17" s="148"/>
      <c r="P17" s="106"/>
      <c r="Q17" s="147"/>
      <c r="R17" s="147"/>
      <c r="S17" s="106"/>
      <c r="T17" s="106"/>
      <c r="U17" s="19"/>
      <c r="V17" s="19"/>
      <c r="W17" s="106"/>
      <c r="X17" s="19"/>
    </row>
    <row r="18" spans="1:24" ht="12" customHeight="1">
      <c r="A18" s="17" t="s">
        <v>225</v>
      </c>
      <c r="B18" s="196">
        <f t="shared" si="1"/>
        <v>0</v>
      </c>
      <c r="C18" s="142"/>
      <c r="D18" s="169"/>
      <c r="E18" s="281"/>
      <c r="F18" s="227" t="s">
        <v>226</v>
      </c>
      <c r="G18" s="319">
        <f t="shared" si="0"/>
        <v>0</v>
      </c>
      <c r="H18" s="230"/>
      <c r="J18" s="148"/>
      <c r="K18" s="171">
        <f t="shared" si="2"/>
        <v>0</v>
      </c>
      <c r="L18" s="172" t="b">
        <v>0</v>
      </c>
      <c r="M18" s="106">
        <v>0.03</v>
      </c>
      <c r="N18" s="145"/>
      <c r="O18" s="148"/>
      <c r="P18" s="106"/>
      <c r="Q18" s="147"/>
      <c r="R18" s="147"/>
      <c r="S18" s="106"/>
      <c r="T18" s="106"/>
      <c r="U18" s="19"/>
      <c r="V18" s="19"/>
      <c r="W18" s="106"/>
      <c r="X18" s="19"/>
    </row>
    <row r="19" spans="1:24" ht="12" customHeight="1">
      <c r="A19" s="17" t="s">
        <v>227</v>
      </c>
      <c r="B19" s="196">
        <f t="shared" si="1"/>
        <v>0</v>
      </c>
      <c r="C19" s="142"/>
      <c r="D19" s="169"/>
      <c r="E19" s="281"/>
      <c r="F19" s="226" t="s">
        <v>228</v>
      </c>
      <c r="G19" s="319">
        <f t="shared" si="0"/>
        <v>0</v>
      </c>
      <c r="H19" s="230"/>
      <c r="J19" s="148"/>
      <c r="K19" s="171">
        <f t="shared" si="2"/>
        <v>0</v>
      </c>
      <c r="L19" s="172" t="b">
        <v>0</v>
      </c>
      <c r="M19" s="106">
        <v>0.07</v>
      </c>
      <c r="N19" s="145"/>
      <c r="O19" s="148"/>
      <c r="P19" s="106"/>
      <c r="Q19" s="147"/>
      <c r="R19" s="147"/>
      <c r="S19" s="106"/>
      <c r="T19" s="106"/>
      <c r="U19" s="19"/>
      <c r="V19" s="19"/>
      <c r="W19" s="106"/>
      <c r="X19" s="19"/>
    </row>
    <row r="20" spans="1:24" ht="12" customHeight="1">
      <c r="A20" s="17" t="s">
        <v>229</v>
      </c>
      <c r="B20" s="196">
        <f t="shared" si="1"/>
        <v>0</v>
      </c>
      <c r="C20" s="142"/>
      <c r="D20" s="169"/>
      <c r="E20" s="281"/>
      <c r="F20" s="226" t="s">
        <v>230</v>
      </c>
      <c r="G20" s="319">
        <f t="shared" si="0"/>
        <v>0</v>
      </c>
      <c r="H20" s="230"/>
      <c r="I20" s="145"/>
      <c r="J20" s="148"/>
      <c r="K20" s="171">
        <f t="shared" si="2"/>
        <v>0</v>
      </c>
      <c r="L20" s="172" t="b">
        <v>0</v>
      </c>
      <c r="M20" s="106">
        <v>0.06</v>
      </c>
      <c r="N20" s="145"/>
      <c r="O20" s="148"/>
      <c r="P20" s="106"/>
      <c r="Q20" s="147"/>
      <c r="R20" s="147"/>
      <c r="S20" s="106"/>
      <c r="T20" s="106"/>
      <c r="U20" s="19"/>
      <c r="V20" s="19"/>
      <c r="W20" s="106"/>
      <c r="X20" s="19"/>
    </row>
    <row r="21" spans="1:24" ht="12" customHeight="1">
      <c r="A21" s="17" t="s">
        <v>231</v>
      </c>
      <c r="B21" s="196">
        <f t="shared" si="1"/>
        <v>0</v>
      </c>
      <c r="C21" s="142"/>
      <c r="D21" s="169"/>
      <c r="E21" s="281"/>
      <c r="F21" s="226" t="s">
        <v>218</v>
      </c>
      <c r="G21" s="319">
        <f t="shared" si="0"/>
        <v>0</v>
      </c>
      <c r="H21" s="230"/>
      <c r="I21" s="143"/>
      <c r="J21" s="148"/>
      <c r="K21" s="171">
        <f t="shared" si="2"/>
        <v>0</v>
      </c>
      <c r="L21" s="172" t="b">
        <v>0</v>
      </c>
      <c r="M21" s="106">
        <v>0.03</v>
      </c>
      <c r="N21" s="142"/>
      <c r="O21" s="142"/>
      <c r="P21" s="19"/>
      <c r="Q21" s="147"/>
      <c r="R21" s="147"/>
      <c r="S21" s="106"/>
      <c r="T21" s="19"/>
      <c r="U21" s="19"/>
      <c r="V21" s="19"/>
      <c r="W21" s="106"/>
      <c r="X21" s="19"/>
    </row>
    <row r="22" spans="1:24" ht="12" customHeight="1">
      <c r="A22" s="17" t="s">
        <v>232</v>
      </c>
      <c r="B22" s="196">
        <f t="shared" si="1"/>
        <v>0</v>
      </c>
      <c r="C22" s="140"/>
      <c r="D22" s="19"/>
      <c r="E22" s="31"/>
      <c r="F22" s="226" t="s">
        <v>220</v>
      </c>
      <c r="G22" s="319">
        <f t="shared" si="0"/>
        <v>0</v>
      </c>
      <c r="H22" s="230"/>
      <c r="I22" s="145"/>
      <c r="J22" s="148"/>
      <c r="K22" s="171">
        <f t="shared" si="2"/>
        <v>0</v>
      </c>
      <c r="L22" s="172" t="b">
        <v>0</v>
      </c>
      <c r="M22" s="106">
        <v>0.03</v>
      </c>
      <c r="N22" s="142"/>
      <c r="O22" s="142"/>
      <c r="P22" s="19"/>
      <c r="Q22" s="147"/>
      <c r="R22" s="147"/>
      <c r="S22" s="106"/>
      <c r="T22" s="19"/>
      <c r="U22" s="19"/>
      <c r="V22" s="19"/>
      <c r="W22" s="106"/>
      <c r="X22" s="19"/>
    </row>
    <row r="23" spans="1:24" ht="12" customHeight="1">
      <c r="A23" s="36" t="s">
        <v>233</v>
      </c>
      <c r="B23" s="196">
        <f t="shared" si="1"/>
        <v>0</v>
      </c>
      <c r="C23" s="16"/>
      <c r="D23" s="16"/>
      <c r="E23" s="324"/>
      <c r="F23" s="226" t="s">
        <v>222</v>
      </c>
      <c r="G23" s="319">
        <f t="shared" si="0"/>
        <v>0</v>
      </c>
      <c r="H23" s="228"/>
      <c r="I23" s="145"/>
      <c r="J23" s="148"/>
      <c r="K23" s="171">
        <f t="shared" si="2"/>
        <v>0</v>
      </c>
      <c r="L23" s="172" t="b">
        <v>0</v>
      </c>
      <c r="M23" s="106">
        <v>0.03</v>
      </c>
      <c r="N23" s="143"/>
      <c r="O23" s="142"/>
      <c r="P23" s="19"/>
      <c r="Q23" s="147"/>
      <c r="R23" s="147"/>
      <c r="S23" s="106"/>
      <c r="T23" s="19"/>
      <c r="U23" s="19"/>
      <c r="V23" s="19"/>
      <c r="W23" s="106"/>
      <c r="X23" s="19"/>
    </row>
    <row r="24" spans="1:28" ht="12" customHeight="1" thickBot="1">
      <c r="A24" s="17" t="s">
        <v>115</v>
      </c>
      <c r="B24" s="199">
        <f t="shared" si="1"/>
        <v>0</v>
      </c>
      <c r="C24" s="16"/>
      <c r="D24" s="16"/>
      <c r="E24" s="324"/>
      <c r="F24" s="227" t="s">
        <v>224</v>
      </c>
      <c r="G24" s="319">
        <f t="shared" si="0"/>
        <v>0</v>
      </c>
      <c r="H24" s="235"/>
      <c r="I24" s="142"/>
      <c r="J24" s="148"/>
      <c r="K24" s="171">
        <f t="shared" si="2"/>
        <v>0</v>
      </c>
      <c r="L24" s="172" t="b">
        <v>0</v>
      </c>
      <c r="M24" s="106">
        <v>0.02</v>
      </c>
      <c r="N24" s="145"/>
      <c r="O24" s="146"/>
      <c r="P24" s="836" t="s">
        <v>99</v>
      </c>
      <c r="Q24" s="837"/>
      <c r="R24" s="838"/>
      <c r="S24" s="836" t="s">
        <v>138</v>
      </c>
      <c r="T24" s="837"/>
      <c r="U24" s="837"/>
      <c r="V24" s="837"/>
      <c r="W24" s="837"/>
      <c r="X24" s="837"/>
      <c r="Y24" s="837"/>
      <c r="Z24" s="837"/>
      <c r="AA24" s="837"/>
      <c r="AB24" s="838"/>
    </row>
    <row r="25" spans="1:28" ht="12" customHeight="1" thickBot="1" thickTop="1">
      <c r="A25" s="325" t="s">
        <v>318</v>
      </c>
      <c r="B25" s="200">
        <f>SUM(B14:B24)</f>
        <v>0</v>
      </c>
      <c r="C25" s="29"/>
      <c r="D25" s="29"/>
      <c r="E25" s="326"/>
      <c r="F25" s="327" t="s">
        <v>116</v>
      </c>
      <c r="G25" s="319">
        <f t="shared" si="0"/>
        <v>0</v>
      </c>
      <c r="H25" s="237"/>
      <c r="I25" s="145"/>
      <c r="J25" s="148"/>
      <c r="K25" s="171"/>
      <c r="L25" s="172" t="b">
        <v>0</v>
      </c>
      <c r="M25" s="106">
        <v>0.02</v>
      </c>
      <c r="N25" s="145"/>
      <c r="O25" s="146"/>
      <c r="P25" s="839"/>
      <c r="Q25" s="840"/>
      <c r="R25" s="841"/>
      <c r="S25" s="839"/>
      <c r="T25" s="840"/>
      <c r="U25" s="840"/>
      <c r="V25" s="840"/>
      <c r="W25" s="840"/>
      <c r="X25" s="840"/>
      <c r="Y25" s="840"/>
      <c r="Z25" s="840"/>
      <c r="AA25" s="840"/>
      <c r="AB25" s="841"/>
    </row>
    <row r="26" spans="1:34" ht="12" customHeight="1" thickBot="1" thickTop="1">
      <c r="A26" s="328" t="str">
        <f>C12&amp;" * "&amp;B13&amp;" * "&amp;B25&amp;"   ="</f>
        <v>100 * 32,6374999903717 * 0   =</v>
      </c>
      <c r="B26" s="818">
        <f>B13*B25*C12/100</f>
        <v>0</v>
      </c>
      <c r="C26" s="818"/>
      <c r="D26" s="29"/>
      <c r="E26" s="326"/>
      <c r="F26" s="226" t="s">
        <v>117</v>
      </c>
      <c r="G26" s="319">
        <f t="shared" si="0"/>
        <v>0</v>
      </c>
      <c r="H26" s="238"/>
      <c r="I26" s="182"/>
      <c r="J26" s="142"/>
      <c r="K26" s="171"/>
      <c r="L26" s="172"/>
      <c r="M26" s="150">
        <v>0.02</v>
      </c>
      <c r="N26" s="145"/>
      <c r="O26" s="146"/>
      <c r="P26" s="842" t="s">
        <v>106</v>
      </c>
      <c r="Q26" s="844" t="s">
        <v>0</v>
      </c>
      <c r="R26" s="846" t="s">
        <v>1</v>
      </c>
      <c r="S26" s="848" t="s">
        <v>12</v>
      </c>
      <c r="T26" s="850" t="s">
        <v>13</v>
      </c>
      <c r="U26" s="852" t="s">
        <v>14</v>
      </c>
      <c r="V26" s="850" t="s">
        <v>15</v>
      </c>
      <c r="W26" s="850" t="s">
        <v>16</v>
      </c>
      <c r="X26" s="850" t="s">
        <v>17</v>
      </c>
      <c r="Y26" s="850" t="s">
        <v>18</v>
      </c>
      <c r="Z26" s="870" t="s">
        <v>19</v>
      </c>
      <c r="AA26" s="850" t="s">
        <v>20</v>
      </c>
      <c r="AB26" s="868" t="s">
        <v>21</v>
      </c>
      <c r="AC26" s="860" t="s">
        <v>114</v>
      </c>
      <c r="AD26" s="861"/>
      <c r="AE26" s="861"/>
      <c r="AF26" s="861"/>
      <c r="AG26" s="861"/>
      <c r="AH26" s="862"/>
    </row>
    <row r="27" spans="4:34" ht="12" customHeight="1">
      <c r="D27" s="271"/>
      <c r="E27" s="326"/>
      <c r="F27" s="226" t="s">
        <v>118</v>
      </c>
      <c r="G27" s="319">
        <f t="shared" si="0"/>
        <v>0</v>
      </c>
      <c r="H27" s="329"/>
      <c r="I27" s="142"/>
      <c r="J27" s="142"/>
      <c r="K27" s="171"/>
      <c r="L27" s="172"/>
      <c r="M27" s="330">
        <v>0.1</v>
      </c>
      <c r="N27" s="145"/>
      <c r="O27" s="146"/>
      <c r="P27" s="842"/>
      <c r="Q27" s="844"/>
      <c r="R27" s="846"/>
      <c r="S27" s="848"/>
      <c r="T27" s="850"/>
      <c r="U27" s="852"/>
      <c r="V27" s="850"/>
      <c r="W27" s="850"/>
      <c r="X27" s="850"/>
      <c r="Y27" s="850"/>
      <c r="Z27" s="871"/>
      <c r="AA27" s="850"/>
      <c r="AB27" s="868"/>
      <c r="AC27" s="863"/>
      <c r="AD27" s="864"/>
      <c r="AE27" s="864"/>
      <c r="AF27" s="864"/>
      <c r="AG27" s="864"/>
      <c r="AH27" s="865"/>
    </row>
    <row r="28" spans="1:34" ht="12" customHeight="1" thickBot="1">
      <c r="A28" s="201" t="s">
        <v>245</v>
      </c>
      <c r="B28" s="202"/>
      <c r="C28" s="203"/>
      <c r="D28" s="29"/>
      <c r="E28" s="274"/>
      <c r="F28" s="226" t="s">
        <v>119</v>
      </c>
      <c r="G28" s="331">
        <f t="shared" si="0"/>
        <v>0</v>
      </c>
      <c r="H28" s="332"/>
      <c r="I28" s="145"/>
      <c r="J28" s="142"/>
      <c r="K28" s="171"/>
      <c r="L28" s="172" t="b">
        <v>0</v>
      </c>
      <c r="M28" s="333" t="s">
        <v>347</v>
      </c>
      <c r="N28" s="145"/>
      <c r="O28" s="148"/>
      <c r="P28" s="842"/>
      <c r="Q28" s="844"/>
      <c r="R28" s="846"/>
      <c r="S28" s="848"/>
      <c r="T28" s="850"/>
      <c r="U28" s="852"/>
      <c r="V28" s="850"/>
      <c r="W28" s="850"/>
      <c r="X28" s="850"/>
      <c r="Y28" s="850"/>
      <c r="Z28" s="871"/>
      <c r="AA28" s="850"/>
      <c r="AB28" s="868"/>
      <c r="AC28" s="723"/>
      <c r="AD28" s="723"/>
      <c r="AE28" s="723"/>
      <c r="AF28" s="723"/>
      <c r="AG28" s="723"/>
      <c r="AH28" s="729"/>
    </row>
    <row r="29" spans="1:34" ht="12" customHeight="1" thickTop="1">
      <c r="A29" s="204" t="str">
        <f>"              "&amp;(TAO!G143+TAO!G144+TAO!G146)&amp;" x "&amp;C12&amp;" x "&amp;B13&amp;"   x"</f>
        <v>              0,38 x 100 x 32,6374999903717   x</v>
      </c>
      <c r="B29" s="29" t="s">
        <v>301</v>
      </c>
      <c r="C29" s="392">
        <f>L29*(TAO!G143+TAO!G144+TAO!G146)*B13*C12/100*0.25</f>
        <v>0</v>
      </c>
      <c r="D29" s="114"/>
      <c r="E29" s="334"/>
      <c r="F29" s="335" t="s">
        <v>121</v>
      </c>
      <c r="G29" s="336">
        <f>SUM(G12:G28)</f>
        <v>0</v>
      </c>
      <c r="H29" s="38"/>
      <c r="I29" s="145"/>
      <c r="J29" s="142"/>
      <c r="K29" s="171">
        <f>D29</f>
        <v>0</v>
      </c>
      <c r="L29" s="172" t="b">
        <v>0</v>
      </c>
      <c r="M29" s="106">
        <v>0.1</v>
      </c>
      <c r="N29" s="145"/>
      <c r="O29" s="148"/>
      <c r="P29" s="842"/>
      <c r="Q29" s="844"/>
      <c r="R29" s="846"/>
      <c r="S29" s="848"/>
      <c r="T29" s="850"/>
      <c r="U29" s="852"/>
      <c r="V29" s="850"/>
      <c r="W29" s="850"/>
      <c r="X29" s="850"/>
      <c r="Y29" s="850"/>
      <c r="Z29" s="871"/>
      <c r="AA29" s="850"/>
      <c r="AB29" s="868"/>
      <c r="AC29" s="677"/>
      <c r="AD29" s="718" t="s">
        <v>105</v>
      </c>
      <c r="AE29" s="677"/>
      <c r="AF29" s="677"/>
      <c r="AG29" s="677"/>
      <c r="AH29" s="730"/>
    </row>
    <row r="30" spans="1:34" ht="12" customHeight="1" thickBot="1">
      <c r="A30" s="205" t="s">
        <v>178</v>
      </c>
      <c r="B30" s="203"/>
      <c r="C30" s="203"/>
      <c r="D30" s="29"/>
      <c r="E30" s="326"/>
      <c r="F30" s="337" t="s">
        <v>122</v>
      </c>
      <c r="G30" s="819">
        <f>B26*G29</f>
        <v>0</v>
      </c>
      <c r="H30" s="820"/>
      <c r="I30" s="145"/>
      <c r="J30" s="142"/>
      <c r="K30" s="171"/>
      <c r="L30" s="172"/>
      <c r="M30" s="106">
        <v>0.01</v>
      </c>
      <c r="N30" s="145"/>
      <c r="O30" s="148"/>
      <c r="P30" s="842"/>
      <c r="Q30" s="844"/>
      <c r="R30" s="846"/>
      <c r="S30" s="848"/>
      <c r="T30" s="850"/>
      <c r="U30" s="852"/>
      <c r="V30" s="850"/>
      <c r="W30" s="850"/>
      <c r="X30" s="850"/>
      <c r="Y30" s="850"/>
      <c r="Z30" s="871"/>
      <c r="AA30" s="850"/>
      <c r="AB30" s="868"/>
      <c r="AC30" s="677"/>
      <c r="AD30" s="677"/>
      <c r="AE30" s="677"/>
      <c r="AF30" s="677"/>
      <c r="AG30" s="677"/>
      <c r="AH30" s="730"/>
    </row>
    <row r="31" spans="1:34" ht="12" customHeight="1">
      <c r="A31" s="198" t="str">
        <f>"         "&amp;(TAO!G143+TAO!G144+TAO!G145+TAO!G146)&amp;"   x   "&amp;C12&amp;" x "&amp;B13&amp;"   x"</f>
        <v>         0,53   x   100 x 32,6374999903717   x</v>
      </c>
      <c r="B31" s="29" t="s">
        <v>299</v>
      </c>
      <c r="C31" s="206">
        <f>((TAO!G143+TAO!G144+TAO!G145+TAO!G146)*0.15)*B13*C12/100*L32</f>
        <v>0</v>
      </c>
      <c r="D31" s="29"/>
      <c r="E31" s="326"/>
      <c r="F31" s="821" t="s">
        <v>123</v>
      </c>
      <c r="G31" s="822"/>
      <c r="H31" s="823"/>
      <c r="I31" s="142"/>
      <c r="J31" s="142"/>
      <c r="K31" s="171"/>
      <c r="L31" s="172"/>
      <c r="M31" s="150">
        <v>0.27</v>
      </c>
      <c r="N31" s="145"/>
      <c r="O31" s="148"/>
      <c r="P31" s="842"/>
      <c r="Q31" s="844"/>
      <c r="R31" s="846"/>
      <c r="S31" s="848"/>
      <c r="T31" s="850"/>
      <c r="U31" s="852"/>
      <c r="V31" s="850"/>
      <c r="W31" s="850"/>
      <c r="X31" s="850"/>
      <c r="Y31" s="850"/>
      <c r="Z31" s="871"/>
      <c r="AA31" s="850"/>
      <c r="AB31" s="868"/>
      <c r="AC31" s="19"/>
      <c r="AD31" s="19"/>
      <c r="AE31" s="866" t="s">
        <v>3</v>
      </c>
      <c r="AF31" s="712" t="s">
        <v>103</v>
      </c>
      <c r="AG31" s="764"/>
      <c r="AH31" s="713">
        <v>100000</v>
      </c>
    </row>
    <row r="32" spans="1:34" ht="12" customHeight="1" thickBot="1">
      <c r="A32" s="207" t="s">
        <v>179</v>
      </c>
      <c r="B32" s="203"/>
      <c r="C32" s="203"/>
      <c r="D32" s="115"/>
      <c r="E32" s="338"/>
      <c r="F32" s="104" t="s">
        <v>124</v>
      </c>
      <c r="G32" s="828">
        <f>C12</f>
        <v>100</v>
      </c>
      <c r="H32" s="829"/>
      <c r="I32" s="142"/>
      <c r="J32" s="142"/>
      <c r="K32" s="171">
        <f>D31</f>
        <v>0</v>
      </c>
      <c r="L32" s="172" t="b">
        <v>0</v>
      </c>
      <c r="M32" s="150">
        <v>0.01</v>
      </c>
      <c r="N32" s="145"/>
      <c r="O32" s="148"/>
      <c r="P32" s="842"/>
      <c r="Q32" s="844"/>
      <c r="R32" s="846"/>
      <c r="S32" s="848"/>
      <c r="T32" s="850"/>
      <c r="U32" s="852"/>
      <c r="V32" s="850"/>
      <c r="W32" s="850"/>
      <c r="X32" s="850"/>
      <c r="Y32" s="850"/>
      <c r="Z32" s="871"/>
      <c r="AA32" s="850"/>
      <c r="AB32" s="868"/>
      <c r="AC32" s="672"/>
      <c r="AD32" s="19"/>
      <c r="AE32" s="867"/>
      <c r="AF32" s="714" t="s">
        <v>137</v>
      </c>
      <c r="AG32" s="763"/>
      <c r="AH32" s="738">
        <v>10.101577326</v>
      </c>
    </row>
    <row r="33" spans="1:34" ht="12" customHeight="1" thickBot="1">
      <c r="A33" s="208" t="str">
        <f>"         "&amp;TAO!G147&amp;"   x   "&amp;C12&amp;" x "&amp;B13&amp;"   x"</f>
        <v>         0,25   x   100 x 32,6374999903717   x</v>
      </c>
      <c r="B33" s="177" t="s">
        <v>300</v>
      </c>
      <c r="C33" s="209">
        <f>((TAO!G147)*0.1)*B13*C12/100*L34</f>
        <v>0</v>
      </c>
      <c r="D33" s="29"/>
      <c r="E33" s="326"/>
      <c r="F33" s="339" t="s">
        <v>125</v>
      </c>
      <c r="G33" s="402">
        <f>IF(M48&lt;50000000,50000000^M8*10^M9+M7,M48^M8*10^M9+M7)</f>
        <v>32.63749999037166</v>
      </c>
      <c r="H33" s="340"/>
      <c r="I33" s="142"/>
      <c r="J33" s="142"/>
      <c r="K33" s="171"/>
      <c r="L33" s="172"/>
      <c r="M33" s="150">
        <v>0.07</v>
      </c>
      <c r="N33" s="145"/>
      <c r="O33" s="148"/>
      <c r="P33" s="843"/>
      <c r="Q33" s="845"/>
      <c r="R33" s="847"/>
      <c r="S33" s="849"/>
      <c r="T33" s="851"/>
      <c r="U33" s="853"/>
      <c r="V33" s="851"/>
      <c r="W33" s="851"/>
      <c r="X33" s="851"/>
      <c r="Y33" s="851"/>
      <c r="Z33" s="872"/>
      <c r="AA33" s="851"/>
      <c r="AB33" s="869"/>
      <c r="AC33" s="758" t="s">
        <v>101</v>
      </c>
      <c r="AD33" s="759" t="s">
        <v>244</v>
      </c>
      <c r="AE33" s="679"/>
      <c r="AF33" s="673" t="s">
        <v>102</v>
      </c>
      <c r="AG33" s="727"/>
      <c r="AH33" s="731"/>
    </row>
    <row r="34" spans="1:34" ht="12" customHeight="1" thickTop="1">
      <c r="A34" s="273"/>
      <c r="B34" s="825">
        <f>SUM(C28:C33)</f>
        <v>0</v>
      </c>
      <c r="C34" s="825"/>
      <c r="D34" s="34"/>
      <c r="E34" s="31"/>
      <c r="F34" s="226"/>
      <c r="G34" s="831" t="s">
        <v>126</v>
      </c>
      <c r="H34" s="833" t="s">
        <v>99</v>
      </c>
      <c r="J34" s="142"/>
      <c r="K34" s="171">
        <f>D33</f>
        <v>0</v>
      </c>
      <c r="L34" s="172" t="b">
        <v>0</v>
      </c>
      <c r="M34" s="106">
        <v>0.06</v>
      </c>
      <c r="N34" s="145"/>
      <c r="O34" s="148"/>
      <c r="P34" s="732" t="s">
        <v>94</v>
      </c>
      <c r="Q34" s="743" t="s">
        <v>95</v>
      </c>
      <c r="R34" s="747" t="s">
        <v>96</v>
      </c>
      <c r="S34" s="753" t="s">
        <v>141</v>
      </c>
      <c r="T34" s="739" t="s">
        <v>98</v>
      </c>
      <c r="U34" s="742" t="s">
        <v>4</v>
      </c>
      <c r="V34" s="742" t="s">
        <v>5</v>
      </c>
      <c r="W34" s="742" t="s">
        <v>6</v>
      </c>
      <c r="X34" s="742" t="s">
        <v>7</v>
      </c>
      <c r="Y34" s="742" t="s">
        <v>8</v>
      </c>
      <c r="Z34" s="742" t="s">
        <v>9</v>
      </c>
      <c r="AA34" s="742" t="s">
        <v>10</v>
      </c>
      <c r="AB34" s="754" t="s">
        <v>11</v>
      </c>
      <c r="AC34" s="669" t="s">
        <v>100</v>
      </c>
      <c r="AD34" s="669" t="s">
        <v>22</v>
      </c>
      <c r="AE34" s="673" t="s">
        <v>97</v>
      </c>
      <c r="AF34" s="671" t="s">
        <v>99</v>
      </c>
      <c r="AG34" s="728"/>
      <c r="AH34" s="733"/>
    </row>
    <row r="35" spans="1:34" ht="12" customHeight="1" thickBot="1">
      <c r="A35" s="211"/>
      <c r="B35" s="212"/>
      <c r="C35" s="213"/>
      <c r="D35" s="29"/>
      <c r="E35" s="326"/>
      <c r="F35" s="107"/>
      <c r="G35" s="832"/>
      <c r="H35" s="834"/>
      <c r="I35" s="142"/>
      <c r="J35" s="245"/>
      <c r="K35" s="171"/>
      <c r="L35" s="172"/>
      <c r="M35" s="106">
        <v>0.15</v>
      </c>
      <c r="N35" s="145"/>
      <c r="O35" s="148"/>
      <c r="P35" s="744">
        <v>0.15</v>
      </c>
      <c r="Q35" s="745">
        <v>0.25</v>
      </c>
      <c r="R35" s="748">
        <v>0.15</v>
      </c>
      <c r="S35" s="744">
        <v>0.05</v>
      </c>
      <c r="T35" s="746">
        <v>0.05</v>
      </c>
      <c r="U35" s="746">
        <v>0.05</v>
      </c>
      <c r="V35" s="746">
        <v>0.05</v>
      </c>
      <c r="W35" s="746">
        <v>0.05</v>
      </c>
      <c r="X35" s="746">
        <v>0.05</v>
      </c>
      <c r="Y35" s="746">
        <v>0.05</v>
      </c>
      <c r="Z35" s="746">
        <v>0.05</v>
      </c>
      <c r="AA35" s="746">
        <v>0.05</v>
      </c>
      <c r="AB35" s="755">
        <v>0.05</v>
      </c>
      <c r="AC35" s="725"/>
      <c r="AD35" s="725"/>
      <c r="AE35" s="760" t="s">
        <v>25</v>
      </c>
      <c r="AF35" s="760" t="s">
        <v>26</v>
      </c>
      <c r="AG35" s="142"/>
      <c r="AH35" s="716" t="s">
        <v>104</v>
      </c>
    </row>
    <row r="36" spans="1:34" ht="12" customHeight="1" thickBot="1">
      <c r="A36" s="214" t="s">
        <v>322</v>
      </c>
      <c r="B36" s="826">
        <f>C12</f>
        <v>100</v>
      </c>
      <c r="C36" s="826"/>
      <c r="D36" s="254"/>
      <c r="E36" s="341"/>
      <c r="F36" s="226" t="s">
        <v>127</v>
      </c>
      <c r="G36" s="724">
        <f>0.02*M61</f>
        <v>0</v>
      </c>
      <c r="H36" s="722">
        <f>AF36-G36</f>
        <v>0</v>
      </c>
      <c r="I36" s="142"/>
      <c r="J36" s="142"/>
      <c r="K36" s="171"/>
      <c r="L36" s="172"/>
      <c r="M36" s="106">
        <v>0.04</v>
      </c>
      <c r="N36" s="145">
        <f>B36*1936.27</f>
        <v>193627</v>
      </c>
      <c r="O36" s="416" t="s">
        <v>148</v>
      </c>
      <c r="P36" s="766"/>
      <c r="Q36" s="767"/>
      <c r="R36" s="749"/>
      <c r="S36" s="756"/>
      <c r="T36" s="678"/>
      <c r="U36" s="678"/>
      <c r="V36" s="678"/>
      <c r="W36" s="678"/>
      <c r="X36" s="678"/>
      <c r="Y36" s="678"/>
      <c r="Z36" s="678"/>
      <c r="AA36" s="678"/>
      <c r="AB36" s="678"/>
      <c r="AC36" s="670">
        <f>P36+Q36+R36</f>
        <v>0</v>
      </c>
      <c r="AD36" s="670">
        <f>SUM(S36:AB36)</f>
        <v>0</v>
      </c>
      <c r="AE36" s="680">
        <f>G36+(AC36*G36)</f>
        <v>0</v>
      </c>
      <c r="AF36" s="757">
        <f>AE36*(1+AD36)</f>
        <v>0</v>
      </c>
      <c r="AG36" s="761"/>
      <c r="AH36" s="717">
        <f>AH$31*AH$32*AF36/100</f>
        <v>0</v>
      </c>
    </row>
    <row r="37" spans="1:34" ht="12" customHeight="1" thickBot="1" thickTop="1">
      <c r="A37" s="215" t="s">
        <v>323</v>
      </c>
      <c r="B37" s="216"/>
      <c r="C37" s="216"/>
      <c r="D37" s="16"/>
      <c r="E37" s="324"/>
      <c r="F37" s="215" t="s">
        <v>128</v>
      </c>
      <c r="G37" s="724">
        <f>0.0325*M62</f>
        <v>0</v>
      </c>
      <c r="H37" s="722">
        <f>AF37-G37</f>
        <v>0</v>
      </c>
      <c r="I37" s="116"/>
      <c r="J37" s="142"/>
      <c r="K37" s="171"/>
      <c r="L37" s="172"/>
      <c r="M37" s="106">
        <v>0.02</v>
      </c>
      <c r="N37" s="145"/>
      <c r="O37" s="148"/>
      <c r="P37" s="766"/>
      <c r="Q37" s="767"/>
      <c r="R37" s="749"/>
      <c r="S37" s="756"/>
      <c r="T37" s="678"/>
      <c r="U37" s="678"/>
      <c r="V37" s="678"/>
      <c r="W37" s="678"/>
      <c r="X37" s="678"/>
      <c r="Y37" s="678"/>
      <c r="Z37" s="678"/>
      <c r="AA37" s="678"/>
      <c r="AB37" s="678"/>
      <c r="AC37" s="670">
        <f>P37+Q37+R37</f>
        <v>0</v>
      </c>
      <c r="AD37" s="670">
        <f>SUM(S37:AB37)</f>
        <v>0</v>
      </c>
      <c r="AE37" s="680">
        <f>G37+(AC37*G37)</f>
        <v>0</v>
      </c>
      <c r="AF37" s="757">
        <f>AE37*(1+AD37)</f>
        <v>0</v>
      </c>
      <c r="AG37" s="761"/>
      <c r="AH37" s="717">
        <f>AH$31*AH$32*AF37/100</f>
        <v>0</v>
      </c>
    </row>
    <row r="38" spans="1:34" ht="12" customHeight="1" thickBot="1" thickTop="1">
      <c r="A38" s="215" t="s">
        <v>150</v>
      </c>
      <c r="B38" s="216">
        <v>1.8397</v>
      </c>
      <c r="C38" s="196">
        <f>O38</f>
        <v>0</v>
      </c>
      <c r="D38" s="16"/>
      <c r="E38" s="324"/>
      <c r="F38" s="215" t="s">
        <v>129</v>
      </c>
      <c r="G38" s="724">
        <f>0.0175*M63</f>
        <v>0</v>
      </c>
      <c r="H38" s="722">
        <f>AF38-G38</f>
        <v>0</v>
      </c>
      <c r="J38" s="142"/>
      <c r="K38" s="171"/>
      <c r="L38" s="172"/>
      <c r="M38" s="106">
        <v>0.24</v>
      </c>
      <c r="N38" s="408">
        <v>0</v>
      </c>
      <c r="O38" s="407">
        <f>N38/1936.27</f>
        <v>0</v>
      </c>
      <c r="P38" s="766"/>
      <c r="Q38" s="767"/>
      <c r="R38" s="749"/>
      <c r="S38" s="756"/>
      <c r="T38" s="678"/>
      <c r="U38" s="678"/>
      <c r="V38" s="678"/>
      <c r="W38" s="678"/>
      <c r="X38" s="678"/>
      <c r="Y38" s="678"/>
      <c r="Z38" s="678"/>
      <c r="AA38" s="678"/>
      <c r="AB38" s="678"/>
      <c r="AC38" s="670">
        <f>P38+Q38+R38</f>
        <v>0</v>
      </c>
      <c r="AD38" s="670">
        <f>SUM(S38:AB38)</f>
        <v>0</v>
      </c>
      <c r="AE38" s="680">
        <f>G38+(AC38*G38)</f>
        <v>0</v>
      </c>
      <c r="AF38" s="757">
        <f>AE38*(1+AD38)</f>
        <v>0</v>
      </c>
      <c r="AG38" s="761"/>
      <c r="AH38" s="717">
        <f>AH$31*AH$32*AF38/100</f>
        <v>0</v>
      </c>
    </row>
    <row r="39" spans="1:34" ht="12" customHeight="1" thickBot="1" thickTop="1">
      <c r="A39" s="215" t="s">
        <v>151</v>
      </c>
      <c r="B39" s="216">
        <v>1.6863</v>
      </c>
      <c r="C39" s="196">
        <f>O39</f>
        <v>0</v>
      </c>
      <c r="D39" s="116"/>
      <c r="E39" s="185"/>
      <c r="F39" s="215" t="s">
        <v>130</v>
      </c>
      <c r="G39" s="724">
        <f>0.15*M64</f>
        <v>0</v>
      </c>
      <c r="H39" s="722">
        <f>AF39-G39</f>
        <v>0</v>
      </c>
      <c r="I39" s="117"/>
      <c r="J39" s="142"/>
      <c r="K39" s="171"/>
      <c r="L39" s="172"/>
      <c r="M39" s="313">
        <v>0.03</v>
      </c>
      <c r="N39" s="408">
        <v>0</v>
      </c>
      <c r="O39" s="407">
        <f>N39/1936.27</f>
        <v>0</v>
      </c>
      <c r="P39" s="734"/>
      <c r="Q39" s="767"/>
      <c r="R39" s="749"/>
      <c r="S39" s="756"/>
      <c r="T39" s="678"/>
      <c r="U39" s="678"/>
      <c r="V39" s="678"/>
      <c r="W39" s="678"/>
      <c r="X39" s="678"/>
      <c r="Y39" s="678"/>
      <c r="Z39" s="678"/>
      <c r="AA39" s="678"/>
      <c r="AB39" s="678"/>
      <c r="AC39" s="670">
        <f>P39+Q39+R39</f>
        <v>0</v>
      </c>
      <c r="AD39" s="670">
        <f>SUM(S39:AB39)</f>
        <v>0</v>
      </c>
      <c r="AE39" s="680">
        <f>G39+(AC39*G39)</f>
        <v>0</v>
      </c>
      <c r="AF39" s="757">
        <f>AE39*(1+AD39)</f>
        <v>0</v>
      </c>
      <c r="AG39" s="761"/>
      <c r="AH39" s="717">
        <f>AH$31*AH$32*AF39/100</f>
        <v>0</v>
      </c>
    </row>
    <row r="40" spans="1:34" ht="12" customHeight="1" thickBot="1" thickTop="1">
      <c r="A40" s="215" t="s">
        <v>152</v>
      </c>
      <c r="B40" s="216">
        <v>1.533</v>
      </c>
      <c r="C40" s="196">
        <f>O40</f>
        <v>0</v>
      </c>
      <c r="D40" s="113"/>
      <c r="E40" s="342"/>
      <c r="F40" s="215" t="s">
        <v>144</v>
      </c>
      <c r="G40" s="724">
        <f>0.25*M65</f>
        <v>0</v>
      </c>
      <c r="H40" s="722">
        <f>AF40-G40</f>
        <v>0</v>
      </c>
      <c r="I40" s="118"/>
      <c r="J40" s="142"/>
      <c r="K40" s="171"/>
      <c r="L40" s="172"/>
      <c r="M40" s="32"/>
      <c r="N40" s="408">
        <v>0</v>
      </c>
      <c r="O40" s="407">
        <f>N40/1936.27</f>
        <v>0</v>
      </c>
      <c r="P40" s="750"/>
      <c r="Q40" s="751"/>
      <c r="R40" s="752"/>
      <c r="S40" s="756"/>
      <c r="T40" s="678"/>
      <c r="U40" s="678"/>
      <c r="V40" s="678"/>
      <c r="W40" s="678"/>
      <c r="X40" s="678"/>
      <c r="Y40" s="678"/>
      <c r="Z40" s="678"/>
      <c r="AA40" s="678"/>
      <c r="AB40" s="678"/>
      <c r="AC40" s="670">
        <f>P40+Q40+R40</f>
        <v>0</v>
      </c>
      <c r="AD40" s="670">
        <f>SUM(S40:AB40)</f>
        <v>0</v>
      </c>
      <c r="AE40" s="680">
        <f>G40+(AC40*G40)</f>
        <v>0</v>
      </c>
      <c r="AF40" s="757">
        <f>AE40*(1+AD40)</f>
        <v>0</v>
      </c>
      <c r="AG40" s="761"/>
      <c r="AH40" s="717">
        <f>AH$31*AH$32*AF40/100</f>
        <v>0</v>
      </c>
    </row>
    <row r="41" spans="1:34" ht="12" customHeight="1" thickBot="1" thickTop="1">
      <c r="A41" s="215" t="s">
        <v>153</v>
      </c>
      <c r="B41" s="216">
        <v>1.2264</v>
      </c>
      <c r="C41" s="196">
        <f>O41</f>
        <v>0</v>
      </c>
      <c r="D41" s="113"/>
      <c r="E41" s="342"/>
      <c r="F41" s="221" t="s">
        <v>131</v>
      </c>
      <c r="G41" s="765">
        <f>AF41</f>
        <v>0</v>
      </c>
      <c r="H41" s="343"/>
      <c r="I41" s="116"/>
      <c r="J41" s="142"/>
      <c r="K41" s="171"/>
      <c r="L41" s="172"/>
      <c r="M41" s="344">
        <v>0.02</v>
      </c>
      <c r="N41" s="408">
        <v>0</v>
      </c>
      <c r="O41" s="407">
        <f>N41/1936.27</f>
        <v>0</v>
      </c>
      <c r="P41" s="854" t="s">
        <v>24</v>
      </c>
      <c r="Q41" s="855"/>
      <c r="R41" s="855"/>
      <c r="S41" s="855"/>
      <c r="T41" s="855"/>
      <c r="U41" s="855"/>
      <c r="V41" s="855"/>
      <c r="W41" s="855"/>
      <c r="X41" s="855"/>
      <c r="Y41" s="855"/>
      <c r="Z41" s="855"/>
      <c r="AA41" s="855"/>
      <c r="AB41" s="856"/>
      <c r="AF41" s="771">
        <f>SUM(AF36:AF40)</f>
        <v>0</v>
      </c>
      <c r="AH41" s="715"/>
    </row>
    <row r="42" spans="1:34" ht="15.75" customHeight="1" thickBot="1" thickTop="1">
      <c r="A42" s="215" t="s">
        <v>154</v>
      </c>
      <c r="B42" s="217">
        <v>1.0731</v>
      </c>
      <c r="C42" s="199">
        <f>O42</f>
        <v>0</v>
      </c>
      <c r="D42" s="113"/>
      <c r="E42" s="342"/>
      <c r="F42" s="337" t="s">
        <v>122</v>
      </c>
      <c r="G42" s="818">
        <f>C12*B13*G41/100</f>
        <v>0</v>
      </c>
      <c r="H42" s="835"/>
      <c r="J42" s="142"/>
      <c r="K42" s="171"/>
      <c r="L42" s="172"/>
      <c r="M42" s="345">
        <v>0.0325</v>
      </c>
      <c r="N42" s="408">
        <v>0</v>
      </c>
      <c r="O42" s="407">
        <f>N42/1936.27</f>
        <v>0</v>
      </c>
      <c r="P42" s="857"/>
      <c r="Q42" s="858"/>
      <c r="R42" s="858"/>
      <c r="S42" s="858"/>
      <c r="T42" s="858"/>
      <c r="U42" s="858"/>
      <c r="V42" s="858"/>
      <c r="W42" s="858"/>
      <c r="X42" s="858"/>
      <c r="Y42" s="858"/>
      <c r="Z42" s="858"/>
      <c r="AA42" s="858"/>
      <c r="AB42" s="859"/>
      <c r="AH42" s="737">
        <f>SUM(AH36:AH40)</f>
        <v>0</v>
      </c>
    </row>
    <row r="43" spans="1:24" ht="22.5" customHeight="1" thickBot="1" thickTop="1">
      <c r="A43" s="215" t="s">
        <v>350</v>
      </c>
      <c r="B43" s="216"/>
      <c r="C43" s="196">
        <f>SUM(C38:C42)</f>
        <v>0</v>
      </c>
      <c r="D43" s="116"/>
      <c r="E43" s="346"/>
      <c r="F43" s="347" t="s">
        <v>243</v>
      </c>
      <c r="G43" s="395" t="s">
        <v>143</v>
      </c>
      <c r="H43" s="404">
        <f>B26+B34+B48+B58+C53+G30+G42</f>
        <v>0</v>
      </c>
      <c r="J43" s="142"/>
      <c r="K43" s="171"/>
      <c r="L43" s="172"/>
      <c r="M43" s="348">
        <v>0.0325</v>
      </c>
      <c r="N43" s="408">
        <f>SUM(N38:N42)</f>
        <v>0</v>
      </c>
      <c r="O43" s="409">
        <f>SUM(O38:O42)</f>
        <v>0</v>
      </c>
      <c r="P43" s="19"/>
      <c r="Q43" s="147"/>
      <c r="R43" s="147"/>
      <c r="S43" s="150"/>
      <c r="T43" s="106"/>
      <c r="U43" s="19"/>
      <c r="V43" s="19"/>
      <c r="W43" s="19"/>
      <c r="X43" s="19"/>
    </row>
    <row r="44" spans="1:24" ht="12" customHeight="1" thickTop="1">
      <c r="A44" s="219" t="s">
        <v>373</v>
      </c>
      <c r="B44" s="216"/>
      <c r="C44" s="216"/>
      <c r="D44" s="116"/>
      <c r="E44" s="346"/>
      <c r="F44" s="255" t="s">
        <v>319</v>
      </c>
      <c r="G44" s="248"/>
      <c r="H44" s="249"/>
      <c r="I44" s="116"/>
      <c r="J44" s="142"/>
      <c r="K44" s="171"/>
      <c r="L44" s="172"/>
      <c r="M44" s="345">
        <v>0.15</v>
      </c>
      <c r="N44" s="145"/>
      <c r="O44" s="142"/>
      <c r="P44" s="19"/>
      <c r="Q44" s="19"/>
      <c r="R44" s="19"/>
      <c r="S44" s="150"/>
      <c r="T44" s="106"/>
      <c r="U44" s="19"/>
      <c r="V44" s="19"/>
      <c r="W44" s="19"/>
      <c r="X44" s="19"/>
    </row>
    <row r="45" spans="1:24" ht="12" customHeight="1">
      <c r="A45" s="215" t="str">
        <f>C43&amp;"  x - 30%     = "</f>
        <v>0  x - 30%     = </v>
      </c>
      <c r="B45" s="216"/>
      <c r="C45" s="393">
        <f>IF(OR(B12="Ia",B12="Ib",B12="Ic",B12="Id",B12="If",B12="Ig"),0,C43*-0.3)</f>
        <v>0</v>
      </c>
      <c r="D45" s="116"/>
      <c r="E45" s="346"/>
      <c r="F45" s="256" t="s">
        <v>320</v>
      </c>
      <c r="G45" s="250"/>
      <c r="H45" s="349"/>
      <c r="I45" s="116"/>
      <c r="J45" s="142"/>
      <c r="K45" s="171">
        <f>D45</f>
        <v>0</v>
      </c>
      <c r="L45" s="172" t="b">
        <v>1</v>
      </c>
      <c r="M45" s="345">
        <v>0.25</v>
      </c>
      <c r="N45" s="145"/>
      <c r="O45" s="142"/>
      <c r="P45" s="19"/>
      <c r="Q45" s="19"/>
      <c r="R45" s="19"/>
      <c r="S45" s="150"/>
      <c r="T45" s="106"/>
      <c r="U45" s="19"/>
      <c r="V45" s="19"/>
      <c r="W45" s="19"/>
      <c r="X45" s="19"/>
    </row>
    <row r="46" spans="1:24" ht="12" customHeight="1" thickBot="1">
      <c r="A46" s="219" t="s">
        <v>189</v>
      </c>
      <c r="B46" s="216"/>
      <c r="C46" s="206"/>
      <c r="D46" s="116"/>
      <c r="E46" s="346"/>
      <c r="F46" s="257" t="s">
        <v>132</v>
      </c>
      <c r="G46" s="350">
        <v>0.3</v>
      </c>
      <c r="H46" s="351"/>
      <c r="I46" s="113"/>
      <c r="J46" s="142"/>
      <c r="K46" s="171"/>
      <c r="L46" s="172"/>
      <c r="M46" s="352">
        <v>0.47</v>
      </c>
      <c r="N46" s="145"/>
      <c r="O46" s="142"/>
      <c r="P46" s="19"/>
      <c r="Q46" s="19"/>
      <c r="R46" s="19"/>
      <c r="S46" s="150"/>
      <c r="T46" s="106"/>
      <c r="U46" s="19"/>
      <c r="V46" s="19"/>
      <c r="W46" s="19"/>
      <c r="X46" s="19"/>
    </row>
    <row r="47" spans="1:24" ht="12" customHeight="1" thickBot="1" thickTop="1">
      <c r="A47" s="215" t="str">
        <f>C43&amp;"  x  "&amp;B47&amp;"     = "</f>
        <v>0  x  0,3     = </v>
      </c>
      <c r="B47" s="275">
        <v>0.3</v>
      </c>
      <c r="C47" s="199">
        <f>L47*C43*B47</f>
        <v>0</v>
      </c>
      <c r="D47" s="116"/>
      <c r="E47" s="346"/>
      <c r="F47" s="258"/>
      <c r="G47" s="395" t="s">
        <v>143</v>
      </c>
      <c r="H47" s="396">
        <f>H43*G46</f>
        <v>0</v>
      </c>
      <c r="I47" s="113"/>
      <c r="J47" s="142"/>
      <c r="K47" s="171">
        <f>D47</f>
        <v>0</v>
      </c>
      <c r="L47" s="172" t="b">
        <v>0</v>
      </c>
      <c r="M47" s="19"/>
      <c r="N47" s="143"/>
      <c r="O47" s="142"/>
      <c r="P47" s="19"/>
      <c r="Q47" s="19"/>
      <c r="R47" s="19"/>
      <c r="S47" s="150"/>
      <c r="T47" s="144"/>
      <c r="U47" s="19"/>
      <c r="V47" s="19"/>
      <c r="W47" s="19"/>
      <c r="X47" s="19"/>
    </row>
    <row r="48" spans="1:24" ht="12" customHeight="1" thickTop="1">
      <c r="A48" s="214" t="s">
        <v>351</v>
      </c>
      <c r="B48" s="827">
        <f>(C43+C45+C47)*L48</f>
        <v>0</v>
      </c>
      <c r="C48" s="827"/>
      <c r="D48" s="116"/>
      <c r="E48" s="346"/>
      <c r="F48" s="28"/>
      <c r="G48" s="179"/>
      <c r="H48" s="189"/>
      <c r="I48" s="113"/>
      <c r="J48" s="142"/>
      <c r="K48" s="171">
        <f>D48</f>
        <v>0</v>
      </c>
      <c r="L48" s="172" t="b">
        <v>0</v>
      </c>
      <c r="M48" s="403">
        <f>G32*1936.27</f>
        <v>193627</v>
      </c>
      <c r="N48" s="145" t="s">
        <v>145</v>
      </c>
      <c r="O48" s="142"/>
      <c r="P48" s="19"/>
      <c r="Q48" s="19"/>
      <c r="R48" s="19"/>
      <c r="S48" s="150"/>
      <c r="T48" s="106"/>
      <c r="U48" s="19"/>
      <c r="V48" s="19"/>
      <c r="W48" s="19"/>
      <c r="X48" s="19"/>
    </row>
    <row r="49" spans="1:24" ht="12.75" customHeight="1">
      <c r="A49" s="215"/>
      <c r="B49" s="216"/>
      <c r="C49" s="206"/>
      <c r="D49" s="116"/>
      <c r="E49" s="346"/>
      <c r="F49" s="28"/>
      <c r="G49" s="179"/>
      <c r="H49" s="189"/>
      <c r="J49" s="142"/>
      <c r="K49" s="171"/>
      <c r="L49" s="172"/>
      <c r="M49" s="19"/>
      <c r="N49" s="145"/>
      <c r="O49" s="142"/>
      <c r="P49" s="19"/>
      <c r="Q49" s="19"/>
      <c r="R49" s="19"/>
      <c r="S49" s="150"/>
      <c r="T49" s="106"/>
      <c r="U49" s="19"/>
      <c r="V49" s="19"/>
      <c r="W49" s="19"/>
      <c r="X49" s="19"/>
    </row>
    <row r="50" spans="1:24" ht="12.75" customHeight="1">
      <c r="A50" s="265" t="s">
        <v>383</v>
      </c>
      <c r="B50" s="266"/>
      <c r="C50" s="266"/>
      <c r="D50" s="353"/>
      <c r="E50" s="354"/>
      <c r="F50" s="28" t="s">
        <v>133</v>
      </c>
      <c r="G50" s="395" t="s">
        <v>143</v>
      </c>
      <c r="H50" s="397">
        <v>0</v>
      </c>
      <c r="J50" s="142"/>
      <c r="K50" s="171"/>
      <c r="L50" s="172" t="b">
        <v>0</v>
      </c>
      <c r="M50" s="405">
        <f>B51*1936.27</f>
        <v>0</v>
      </c>
      <c r="N50" s="142" t="s">
        <v>146</v>
      </c>
      <c r="O50" s="142"/>
      <c r="P50" s="19"/>
      <c r="Q50" s="19"/>
      <c r="R50" s="19"/>
      <c r="S50" s="150"/>
      <c r="T50" s="106"/>
      <c r="U50" s="19"/>
      <c r="V50" s="19"/>
      <c r="W50" s="19"/>
      <c r="X50" s="19"/>
    </row>
    <row r="51" spans="1:24" ht="12.75" customHeight="1">
      <c r="A51" s="222" t="s">
        <v>182</v>
      </c>
      <c r="B51" s="830">
        <v>0</v>
      </c>
      <c r="C51" s="830"/>
      <c r="D51" s="263"/>
      <c r="E51" s="355"/>
      <c r="F51" s="28"/>
      <c r="G51" s="19"/>
      <c r="H51" s="192"/>
      <c r="J51" s="142"/>
      <c r="K51" s="171"/>
      <c r="L51" s="172" t="b">
        <v>0</v>
      </c>
      <c r="M51" s="19"/>
      <c r="N51" s="145"/>
      <c r="O51" s="142"/>
      <c r="P51" s="19"/>
      <c r="Q51" s="19"/>
      <c r="R51" s="19"/>
      <c r="S51" s="150"/>
      <c r="T51" s="106"/>
      <c r="U51" s="19"/>
      <c r="V51" s="19"/>
      <c r="W51" s="19"/>
      <c r="X51" s="19"/>
    </row>
    <row r="52" spans="1:24" ht="12" customHeight="1" thickBot="1">
      <c r="A52" s="223" t="s">
        <v>183</v>
      </c>
      <c r="B52" s="356">
        <f>IF(M50&lt;50000000,50000000^M8*10^M9+M7,M50^M8*10^M9+M7)</f>
        <v>32.63749999037166</v>
      </c>
      <c r="C52" s="217"/>
      <c r="D52" s="263"/>
      <c r="E52" s="355"/>
      <c r="F52" s="28"/>
      <c r="G52" s="103"/>
      <c r="H52" s="30"/>
      <c r="J52" s="142"/>
      <c r="K52" s="171">
        <f>I46</f>
        <v>0</v>
      </c>
      <c r="L52" s="172" t="b">
        <v>0</v>
      </c>
      <c r="M52" s="405">
        <f>C12</f>
        <v>100</v>
      </c>
      <c r="N52" s="145" t="s">
        <v>147</v>
      </c>
      <c r="O52" s="142"/>
      <c r="P52" s="19"/>
      <c r="Q52" s="19"/>
      <c r="R52" s="19"/>
      <c r="S52" s="150"/>
      <c r="T52" s="106"/>
      <c r="U52" s="19"/>
      <c r="V52" s="19"/>
      <c r="W52" s="19"/>
      <c r="X52" s="19"/>
    </row>
    <row r="53" spans="1:24" ht="13.5" customHeight="1" thickTop="1">
      <c r="A53" s="427" t="str">
        <f>B51&amp;" * "&amp;B52&amp;" * "&amp;(M33+M36)&amp;" / 100   ="</f>
        <v>0 * 32,6374999903717 * 0,11 / 100   =</v>
      </c>
      <c r="B53" s="269"/>
      <c r="C53" s="428">
        <f>(B51*B52*(M33+M36))/100</f>
        <v>0</v>
      </c>
      <c r="D53" s="357"/>
      <c r="E53" s="355"/>
      <c r="F53" s="28" t="s">
        <v>133</v>
      </c>
      <c r="G53" s="395" t="s">
        <v>143</v>
      </c>
      <c r="H53" s="397">
        <v>0</v>
      </c>
      <c r="I53" s="145"/>
      <c r="J53" s="142"/>
      <c r="K53" s="171"/>
      <c r="L53" s="172" t="b">
        <v>0</v>
      </c>
      <c r="M53" s="19"/>
      <c r="N53" s="142"/>
      <c r="O53" s="142"/>
      <c r="P53" s="19"/>
      <c r="Q53" s="19"/>
      <c r="R53" s="19"/>
      <c r="S53" s="150"/>
      <c r="T53" s="106"/>
      <c r="U53" s="19"/>
      <c r="V53" s="19"/>
      <c r="W53" s="19"/>
      <c r="X53" s="19"/>
    </row>
    <row r="54" spans="1:24" ht="11.25" customHeight="1">
      <c r="A54" s="221" t="s">
        <v>372</v>
      </c>
      <c r="B54" s="225"/>
      <c r="C54" s="224"/>
      <c r="D54" s="263"/>
      <c r="E54" s="355"/>
      <c r="F54" s="28" t="s">
        <v>192</v>
      </c>
      <c r="G54" s="395" t="s">
        <v>143</v>
      </c>
      <c r="H54" s="397">
        <v>0</v>
      </c>
      <c r="I54" s="145"/>
      <c r="J54" s="142"/>
      <c r="K54" s="171">
        <f>I48</f>
        <v>0</v>
      </c>
      <c r="L54" s="172" t="b">
        <v>0</v>
      </c>
      <c r="M54" s="19"/>
      <c r="N54" s="145"/>
      <c r="O54" s="142"/>
      <c r="P54" s="19"/>
      <c r="Q54" s="19"/>
      <c r="R54" s="19"/>
      <c r="S54" s="150"/>
      <c r="T54" s="106"/>
      <c r="U54" s="19"/>
      <c r="V54" s="19"/>
      <c r="W54" s="19"/>
      <c r="X54" s="19"/>
    </row>
    <row r="55" spans="1:24" ht="12.75" customHeight="1">
      <c r="A55" s="226" t="s">
        <v>352</v>
      </c>
      <c r="B55" s="216"/>
      <c r="C55" s="224"/>
      <c r="D55" s="263"/>
      <c r="E55" s="355"/>
      <c r="F55" s="259" t="str">
        <f>IF(H55&lt;&gt;0,"Sconto su onorario base solo per enti pubb.","  ")</f>
        <v>  </v>
      </c>
      <c r="G55" s="180" t="str">
        <f>IF(H55&lt;&gt;0,"20%","  ")</f>
        <v>  </v>
      </c>
      <c r="H55" s="398">
        <f>-L93*B26*20/100</f>
        <v>0</v>
      </c>
      <c r="I55" s="145"/>
      <c r="J55" s="142"/>
      <c r="K55" s="171"/>
      <c r="L55" s="172" t="b">
        <v>0</v>
      </c>
      <c r="M55" s="19"/>
      <c r="N55" s="145"/>
      <c r="O55" s="142"/>
      <c r="P55" s="19"/>
      <c r="Q55" s="19"/>
      <c r="R55" s="19"/>
      <c r="S55" s="150"/>
      <c r="T55" s="106"/>
      <c r="U55" s="19"/>
      <c r="V55" s="19"/>
      <c r="W55" s="19"/>
      <c r="X55" s="19"/>
    </row>
    <row r="56" spans="1:24" ht="12.75" customHeight="1">
      <c r="A56" s="210" t="s">
        <v>353</v>
      </c>
      <c r="B56" s="19">
        <v>0.030661</v>
      </c>
      <c r="C56" s="400">
        <f>C12*B56*M60</f>
        <v>0</v>
      </c>
      <c r="D56" s="263"/>
      <c r="E56" s="355"/>
      <c r="F56" s="19"/>
      <c r="G56" s="19"/>
      <c r="H56" s="33"/>
      <c r="I56" s="145"/>
      <c r="J56" s="142"/>
      <c r="K56" s="171"/>
      <c r="L56" s="172" t="b">
        <v>0</v>
      </c>
      <c r="M56" s="19"/>
      <c r="N56" s="145"/>
      <c r="O56" s="142"/>
      <c r="P56" s="19"/>
      <c r="Q56" s="19"/>
      <c r="R56" s="19"/>
      <c r="S56" s="150"/>
      <c r="T56" s="106"/>
      <c r="U56" s="19"/>
      <c r="V56" s="19"/>
      <c r="W56" s="19"/>
      <c r="X56" s="19"/>
    </row>
    <row r="57" spans="1:24" ht="12.75" customHeight="1" thickBot="1">
      <c r="A57" s="226" t="s">
        <v>253</v>
      </c>
      <c r="B57" s="424">
        <v>-0.2</v>
      </c>
      <c r="C57" s="401">
        <f>C56*B57</f>
        <v>0</v>
      </c>
      <c r="D57" s="179"/>
      <c r="E57" s="358"/>
      <c r="F57" s="260" t="s">
        <v>185</v>
      </c>
      <c r="G57" s="241"/>
      <c r="H57" s="242"/>
      <c r="I57" s="145"/>
      <c r="J57" s="142"/>
      <c r="K57" s="171"/>
      <c r="L57" s="172" t="b">
        <v>0</v>
      </c>
      <c r="M57" s="19"/>
      <c r="N57" s="145"/>
      <c r="O57" s="142"/>
      <c r="P57" s="19"/>
      <c r="Q57" s="19"/>
      <c r="R57" s="19"/>
      <c r="S57" s="150"/>
      <c r="T57" s="106"/>
      <c r="U57" s="19"/>
      <c r="V57" s="19"/>
      <c r="W57" s="19"/>
      <c r="X57" s="19"/>
    </row>
    <row r="58" spans="1:24" ht="12.75" customHeight="1" thickTop="1">
      <c r="A58" s="227" t="str">
        <f>B12&amp;" * "&amp;B56&amp;"  "&amp;C57&amp;"    = "</f>
        <v>Ie * 0,030661  0    = </v>
      </c>
      <c r="B58" s="824">
        <f>(C56+C57)*M60</f>
        <v>0</v>
      </c>
      <c r="C58" s="824"/>
      <c r="D58" s="297"/>
      <c r="E58" s="346"/>
      <c r="F58" s="261" t="s">
        <v>186</v>
      </c>
      <c r="G58" s="395" t="s">
        <v>143</v>
      </c>
      <c r="H58" s="394">
        <f>SUM(H43:H56)</f>
        <v>0</v>
      </c>
      <c r="I58" s="145"/>
      <c r="J58" s="142"/>
      <c r="K58" s="171"/>
      <c r="L58" s="172" t="b">
        <v>0</v>
      </c>
      <c r="M58" s="19"/>
      <c r="N58" s="145"/>
      <c r="O58" s="142"/>
      <c r="P58" s="19"/>
      <c r="Q58" s="19"/>
      <c r="R58" s="19"/>
      <c r="S58" s="150"/>
      <c r="T58" s="106"/>
      <c r="U58" s="19"/>
      <c r="V58" s="19"/>
      <c r="W58" s="19"/>
      <c r="X58" s="19"/>
    </row>
    <row r="59" spans="5:24" ht="13.5" customHeight="1" thickBot="1">
      <c r="E59" s="244"/>
      <c r="I59" s="145"/>
      <c r="J59" s="142"/>
      <c r="K59" s="171"/>
      <c r="L59" s="172" t="b">
        <v>0</v>
      </c>
      <c r="M59" s="19"/>
      <c r="N59" s="145"/>
      <c r="O59" s="142"/>
      <c r="P59" s="19"/>
      <c r="Q59" s="19"/>
      <c r="R59" s="19"/>
      <c r="S59" s="150"/>
      <c r="T59" s="106"/>
      <c r="U59" s="19"/>
      <c r="V59" s="19"/>
      <c r="W59" s="19"/>
      <c r="X59" s="19"/>
    </row>
    <row r="60" spans="1:24" ht="12.75" customHeight="1">
      <c r="A60" s="298" t="s">
        <v>203</v>
      </c>
      <c r="B60" s="299"/>
      <c r="C60" s="299"/>
      <c r="D60" s="300"/>
      <c r="E60" s="359"/>
      <c r="F60" s="301"/>
      <c r="G60" s="302" t="s">
        <v>201</v>
      </c>
      <c r="H60" s="303"/>
      <c r="I60" s="145"/>
      <c r="J60" s="142"/>
      <c r="K60" s="171"/>
      <c r="L60" s="172" t="b">
        <v>0</v>
      </c>
      <c r="M60" s="173" t="b">
        <v>0</v>
      </c>
      <c r="N60" s="145"/>
      <c r="O60" s="142"/>
      <c r="P60" s="19"/>
      <c r="Q60" s="19"/>
      <c r="R60" s="19"/>
      <c r="S60" s="150"/>
      <c r="T60" s="106"/>
      <c r="U60" s="19"/>
      <c r="V60" s="19"/>
      <c r="W60" s="19"/>
      <c r="X60" s="19"/>
    </row>
    <row r="61" spans="1:24" ht="13.5" customHeight="1">
      <c r="A61" s="304" t="s">
        <v>204</v>
      </c>
      <c r="B61" s="286"/>
      <c r="C61" s="286"/>
      <c r="D61" s="287"/>
      <c r="E61" s="287"/>
      <c r="F61" s="288"/>
      <c r="G61" s="284" t="s">
        <v>202</v>
      </c>
      <c r="H61" s="305"/>
      <c r="I61" s="145"/>
      <c r="J61" s="142"/>
      <c r="K61" s="171"/>
      <c r="L61" s="172" t="b">
        <v>0</v>
      </c>
      <c r="M61" s="768" t="b">
        <v>0</v>
      </c>
      <c r="N61" s="145"/>
      <c r="O61" s="142"/>
      <c r="P61" s="19"/>
      <c r="Q61" s="19"/>
      <c r="R61" s="19"/>
      <c r="S61" s="150"/>
      <c r="T61" s="106"/>
      <c r="U61" s="19"/>
      <c r="V61" s="19"/>
      <c r="W61" s="19"/>
      <c r="X61" s="19"/>
    </row>
    <row r="62" spans="1:24" ht="12" customHeight="1">
      <c r="A62" s="304"/>
      <c r="B62" s="286"/>
      <c r="C62" s="286"/>
      <c r="D62" s="287"/>
      <c r="E62" s="287"/>
      <c r="F62" s="288"/>
      <c r="G62" s="31"/>
      <c r="H62" s="305"/>
      <c r="I62" s="145"/>
      <c r="J62" s="142"/>
      <c r="K62" s="171"/>
      <c r="L62" s="172" t="b">
        <v>0</v>
      </c>
      <c r="M62" s="768" t="b">
        <v>0</v>
      </c>
      <c r="N62" s="145"/>
      <c r="O62" s="142"/>
      <c r="P62" s="19"/>
      <c r="Q62" s="19"/>
      <c r="R62" s="19"/>
      <c r="S62" s="150"/>
      <c r="T62" s="106"/>
      <c r="U62" s="19"/>
      <c r="V62" s="19"/>
      <c r="W62" s="19"/>
      <c r="X62" s="19"/>
    </row>
    <row r="63" spans="1:24" ht="12.75" customHeight="1">
      <c r="A63" s="304" t="s">
        <v>205</v>
      </c>
      <c r="B63" s="286"/>
      <c r="C63" s="291">
        <v>5000000</v>
      </c>
      <c r="D63" s="289"/>
      <c r="E63" s="289"/>
      <c r="F63" s="288"/>
      <c r="G63" s="31"/>
      <c r="H63" s="305"/>
      <c r="I63" s="145"/>
      <c r="J63" s="142"/>
      <c r="K63" s="171"/>
      <c r="L63" s="172" t="b">
        <v>0</v>
      </c>
      <c r="M63" s="768" t="b">
        <v>0</v>
      </c>
      <c r="N63" s="145"/>
      <c r="O63" s="142"/>
      <c r="P63" s="19"/>
      <c r="Q63" s="19"/>
      <c r="R63" s="19"/>
      <c r="S63" s="150"/>
      <c r="T63" s="106"/>
      <c r="U63" s="19"/>
      <c r="V63" s="19"/>
      <c r="W63" s="19"/>
      <c r="X63" s="19"/>
    </row>
    <row r="64" spans="1:24" ht="12.75" customHeight="1">
      <c r="A64" s="304" t="s">
        <v>206</v>
      </c>
      <c r="B64" s="286"/>
      <c r="C64" s="291">
        <v>9000000</v>
      </c>
      <c r="D64" s="286"/>
      <c r="E64" s="286"/>
      <c r="F64" s="288"/>
      <c r="G64" s="31"/>
      <c r="H64" s="305"/>
      <c r="I64" s="145"/>
      <c r="J64" s="142"/>
      <c r="K64" s="171"/>
      <c r="L64" s="172" t="b">
        <v>0</v>
      </c>
      <c r="M64" s="768" t="b">
        <v>0</v>
      </c>
      <c r="N64" s="145"/>
      <c r="O64" s="142"/>
      <c r="P64" s="19"/>
      <c r="Q64" s="19"/>
      <c r="R64" s="19"/>
      <c r="S64" s="150"/>
      <c r="T64" s="106"/>
      <c r="U64" s="19"/>
      <c r="V64" s="19"/>
      <c r="W64" s="19"/>
      <c r="X64" s="19"/>
    </row>
    <row r="65" spans="1:24" ht="12" customHeight="1">
      <c r="A65" s="304" t="s">
        <v>207</v>
      </c>
      <c r="B65" s="286"/>
      <c r="C65" s="291">
        <v>15000000</v>
      </c>
      <c r="D65" s="290"/>
      <c r="E65" s="290"/>
      <c r="F65" s="288"/>
      <c r="G65" s="31"/>
      <c r="H65" s="305"/>
      <c r="I65" s="145"/>
      <c r="J65" s="142"/>
      <c r="K65" s="171"/>
      <c r="L65" s="172" t="b">
        <v>0</v>
      </c>
      <c r="M65" s="768" t="b">
        <v>0</v>
      </c>
      <c r="N65" s="145"/>
      <c r="O65" s="142"/>
      <c r="P65" s="19"/>
      <c r="Q65" s="19"/>
      <c r="R65" s="19"/>
      <c r="S65" s="150"/>
      <c r="T65" s="106"/>
      <c r="U65" s="19"/>
      <c r="V65" s="19"/>
      <c r="W65" s="19"/>
      <c r="X65" s="19"/>
    </row>
    <row r="66" spans="1:24" ht="12.75" customHeight="1">
      <c r="A66" s="304" t="s">
        <v>208</v>
      </c>
      <c r="B66" s="286"/>
      <c r="C66" s="291">
        <f>H58</f>
        <v>0</v>
      </c>
      <c r="D66" s="286"/>
      <c r="E66" s="286"/>
      <c r="F66" s="288"/>
      <c r="G66" s="285"/>
      <c r="H66" s="306"/>
      <c r="I66" s="145"/>
      <c r="J66" s="142"/>
      <c r="K66" s="171"/>
      <c r="L66" s="172" t="b">
        <v>0</v>
      </c>
      <c r="M66" s="174"/>
      <c r="N66" s="143"/>
      <c r="O66" s="142"/>
      <c r="P66" s="19"/>
      <c r="Q66" s="19"/>
      <c r="R66" s="19"/>
      <c r="S66" s="150"/>
      <c r="T66" s="19"/>
      <c r="U66" s="19"/>
      <c r="V66" s="19"/>
      <c r="W66" s="19"/>
      <c r="X66" s="19"/>
    </row>
    <row r="67" spans="1:24" ht="12.75" customHeight="1" thickBot="1">
      <c r="A67" s="304"/>
      <c r="B67" s="286"/>
      <c r="C67" s="292"/>
      <c r="D67" s="286"/>
      <c r="E67" s="286"/>
      <c r="F67" s="288"/>
      <c r="G67" s="285"/>
      <c r="H67" s="306"/>
      <c r="I67" s="142"/>
      <c r="J67" s="145"/>
      <c r="K67" s="171"/>
      <c r="M67" s="19"/>
      <c r="N67" s="145"/>
      <c r="O67" s="142"/>
      <c r="P67" s="19"/>
      <c r="Q67" s="106"/>
      <c r="R67" s="19"/>
      <c r="S67" s="150"/>
      <c r="T67" s="19"/>
      <c r="U67" s="19"/>
      <c r="V67" s="19"/>
      <c r="W67" s="19"/>
      <c r="X67" s="19"/>
    </row>
    <row r="68" spans="1:24" ht="12" customHeight="1" thickBot="1" thickTop="1">
      <c r="A68" s="307" t="s">
        <v>209</v>
      </c>
      <c r="B68" s="308"/>
      <c r="C68" s="309">
        <f>SUM(C63:C67)</f>
        <v>29000000</v>
      </c>
      <c r="D68" s="308" t="s">
        <v>190</v>
      </c>
      <c r="E68" s="308"/>
      <c r="F68" s="310"/>
      <c r="G68" s="311"/>
      <c r="H68" s="312"/>
      <c r="I68" s="142"/>
      <c r="J68" s="145"/>
      <c r="K68" s="171"/>
      <c r="M68" s="19"/>
      <c r="N68" s="145"/>
      <c r="O68" s="142"/>
      <c r="P68" s="19"/>
      <c r="Q68" s="106"/>
      <c r="R68" s="19"/>
      <c r="S68" s="19"/>
      <c r="T68" s="19"/>
      <c r="U68" s="19"/>
      <c r="V68" s="19"/>
      <c r="W68" s="19"/>
      <c r="X68" s="19"/>
    </row>
    <row r="69" spans="1:24" ht="12" customHeight="1">
      <c r="A69" s="6"/>
      <c r="G69" s="142"/>
      <c r="H69" s="142"/>
      <c r="I69" s="142"/>
      <c r="J69" s="145"/>
      <c r="K69" s="171"/>
      <c r="M69" s="19"/>
      <c r="N69" s="145"/>
      <c r="O69" s="142"/>
      <c r="P69" s="19"/>
      <c r="Q69" s="106"/>
      <c r="R69" s="19"/>
      <c r="S69" s="19"/>
      <c r="T69" s="19"/>
      <c r="U69" s="19"/>
      <c r="V69" s="19"/>
      <c r="W69" s="19"/>
      <c r="X69" s="19"/>
    </row>
    <row r="70" spans="1:24" ht="12" customHeight="1">
      <c r="A70" s="6"/>
      <c r="D70" s="142"/>
      <c r="E70" s="142"/>
      <c r="I70" s="142"/>
      <c r="J70" s="145"/>
      <c r="K70" s="171"/>
      <c r="M70" s="142"/>
      <c r="N70" s="145"/>
      <c r="O70" s="142"/>
      <c r="P70" s="19"/>
      <c r="Q70" s="106"/>
      <c r="R70" s="19"/>
      <c r="S70" s="150"/>
      <c r="T70" s="19"/>
      <c r="U70" s="19"/>
      <c r="V70" s="19"/>
      <c r="W70" s="19"/>
      <c r="X70" s="19"/>
    </row>
    <row r="71" spans="1:24" ht="12" customHeight="1">
      <c r="A71" s="6"/>
      <c r="D71" s="142"/>
      <c r="E71" s="142"/>
      <c r="I71" s="142"/>
      <c r="J71" s="145"/>
      <c r="K71" s="171">
        <f>D71</f>
        <v>0</v>
      </c>
      <c r="M71" s="142"/>
      <c r="N71" s="145"/>
      <c r="O71" s="142"/>
      <c r="P71" s="19"/>
      <c r="Q71" s="106"/>
      <c r="R71" s="19"/>
      <c r="S71" s="150"/>
      <c r="T71" s="19"/>
      <c r="U71" s="19"/>
      <c r="V71" s="19"/>
      <c r="W71" s="19"/>
      <c r="X71" s="19"/>
    </row>
    <row r="72" spans="1:24" ht="12" customHeight="1">
      <c r="A72" s="149"/>
      <c r="B72" s="19"/>
      <c r="C72" s="142"/>
      <c r="D72" s="142"/>
      <c r="E72" s="142"/>
      <c r="I72" s="142"/>
      <c r="J72" s="145"/>
      <c r="K72" s="171"/>
      <c r="M72" s="142"/>
      <c r="N72" s="145"/>
      <c r="O72" s="142"/>
      <c r="P72" s="19"/>
      <c r="Q72" s="106"/>
      <c r="R72" s="19"/>
      <c r="S72" s="150"/>
      <c r="T72" s="19"/>
      <c r="U72" s="19"/>
      <c r="V72" s="19"/>
      <c r="W72" s="19"/>
      <c r="X72" s="19"/>
    </row>
    <row r="73" spans="1:24" ht="12" customHeight="1">
      <c r="A73" s="6"/>
      <c r="I73" s="142"/>
      <c r="J73" s="145"/>
      <c r="K73" s="171"/>
      <c r="M73" s="142"/>
      <c r="N73" s="145"/>
      <c r="O73" s="142"/>
      <c r="P73" s="19"/>
      <c r="Q73" s="106"/>
      <c r="R73" s="19"/>
      <c r="S73" s="150"/>
      <c r="T73" s="19"/>
      <c r="U73" s="19"/>
      <c r="V73" s="19"/>
      <c r="W73" s="19"/>
      <c r="X73" s="19"/>
    </row>
    <row r="74" spans="1:24" ht="12" customHeight="1">
      <c r="A74" s="6"/>
      <c r="G74" s="142"/>
      <c r="H74" s="142"/>
      <c r="I74" s="142"/>
      <c r="J74" s="145"/>
      <c r="K74" s="171"/>
      <c r="L74" s="174"/>
      <c r="M74" s="142"/>
      <c r="N74" s="145"/>
      <c r="O74" s="142"/>
      <c r="P74" s="19"/>
      <c r="Q74" s="106"/>
      <c r="R74" s="19"/>
      <c r="S74" s="150"/>
      <c r="T74" s="19"/>
      <c r="U74" s="19"/>
      <c r="V74" s="19"/>
      <c r="W74" s="19"/>
      <c r="X74" s="19"/>
    </row>
    <row r="75" spans="1:24" ht="12" customHeight="1">
      <c r="A75" s="6"/>
      <c r="G75" s="162"/>
      <c r="H75" s="142"/>
      <c r="I75" s="142"/>
      <c r="J75" s="145"/>
      <c r="K75" s="171">
        <f>I33</f>
        <v>0</v>
      </c>
      <c r="L75" s="174"/>
      <c r="M75" s="142"/>
      <c r="N75" s="145"/>
      <c r="O75" s="142"/>
      <c r="P75" s="19"/>
      <c r="Q75" s="106"/>
      <c r="R75" s="19"/>
      <c r="S75" s="150"/>
      <c r="T75" s="19"/>
      <c r="U75" s="19"/>
      <c r="V75" s="19"/>
      <c r="W75" s="19"/>
      <c r="X75" s="19"/>
    </row>
    <row r="76" spans="1:24" ht="12" customHeight="1">
      <c r="A76" s="6"/>
      <c r="F76" s="19"/>
      <c r="G76" s="163"/>
      <c r="H76" s="142"/>
      <c r="I76" s="142"/>
      <c r="J76" s="143"/>
      <c r="K76" s="171"/>
      <c r="L76" s="175"/>
      <c r="M76" s="142"/>
      <c r="N76" s="143"/>
      <c r="O76" s="142"/>
      <c r="P76" s="19"/>
      <c r="Q76" s="106"/>
      <c r="R76" s="19"/>
      <c r="S76" s="150"/>
      <c r="T76" s="19"/>
      <c r="U76" s="19"/>
      <c r="V76" s="19"/>
      <c r="W76" s="19"/>
      <c r="X76" s="19"/>
    </row>
    <row r="77" spans="1:24" ht="12" customHeight="1">
      <c r="A77" s="6"/>
      <c r="G77" s="162"/>
      <c r="H77" s="142"/>
      <c r="I77" s="142"/>
      <c r="J77" s="145"/>
      <c r="K77" s="171"/>
      <c r="L77" s="173"/>
      <c r="M77" s="142"/>
      <c r="N77" s="145"/>
      <c r="O77" s="142"/>
      <c r="P77" s="19"/>
      <c r="Q77" s="19"/>
      <c r="R77" s="19"/>
      <c r="S77" s="150"/>
      <c r="T77" s="19"/>
      <c r="U77" s="19"/>
      <c r="V77" s="19"/>
      <c r="W77" s="19"/>
      <c r="X77" s="19"/>
    </row>
    <row r="78" spans="1:24" ht="12" customHeight="1">
      <c r="A78" s="6"/>
      <c r="G78" s="162"/>
      <c r="H78" s="101"/>
      <c r="I78" s="116"/>
      <c r="J78" s="116"/>
      <c r="K78" s="171">
        <f>I37</f>
        <v>0</v>
      </c>
      <c r="L78" s="172"/>
      <c r="M78" s="142"/>
      <c r="N78" s="145"/>
      <c r="O78" s="142"/>
      <c r="P78" s="19"/>
      <c r="Q78" s="19"/>
      <c r="R78" s="19"/>
      <c r="S78" s="150"/>
      <c r="T78" s="19"/>
      <c r="U78" s="19"/>
      <c r="V78" s="19"/>
      <c r="W78" s="19"/>
      <c r="X78" s="19"/>
    </row>
    <row r="79" spans="1:24" ht="12" customHeight="1">
      <c r="A79" s="6"/>
      <c r="J79" s="119"/>
      <c r="K79" s="171"/>
      <c r="L79" s="172"/>
      <c r="M79" s="142"/>
      <c r="N79" s="145"/>
      <c r="O79" s="142"/>
      <c r="P79" s="19"/>
      <c r="Q79" s="19"/>
      <c r="R79" s="19"/>
      <c r="S79" s="19"/>
      <c r="T79" s="19"/>
      <c r="U79" s="19"/>
      <c r="V79" s="19"/>
      <c r="W79" s="19"/>
      <c r="X79" s="19"/>
    </row>
    <row r="80" spans="1:24" ht="12" customHeight="1">
      <c r="A80" s="6"/>
      <c r="G80" s="162"/>
      <c r="H80" s="100"/>
      <c r="I80" s="118"/>
      <c r="J80" s="118"/>
      <c r="K80" s="171"/>
      <c r="L80" s="172"/>
      <c r="M80" s="142"/>
      <c r="N80" s="145"/>
      <c r="O80" s="142"/>
      <c r="P80" s="19"/>
      <c r="Q80" s="19"/>
      <c r="R80" s="19"/>
      <c r="S80" s="19"/>
      <c r="T80" s="19"/>
      <c r="U80" s="19"/>
      <c r="V80" s="19"/>
      <c r="W80" s="19"/>
      <c r="X80" s="19"/>
    </row>
    <row r="81" spans="1:24" ht="12" customHeight="1">
      <c r="A81" s="6"/>
      <c r="G81" s="162"/>
      <c r="H81" s="19"/>
      <c r="I81" s="116"/>
      <c r="J81" s="116"/>
      <c r="K81" s="171">
        <f>I41</f>
        <v>0</v>
      </c>
      <c r="L81" s="172"/>
      <c r="M81" s="142"/>
      <c r="N81" s="145"/>
      <c r="O81" s="142"/>
      <c r="P81" s="19"/>
      <c r="Q81" s="19"/>
      <c r="R81" s="19"/>
      <c r="S81" s="19"/>
      <c r="T81" s="19"/>
      <c r="U81" s="19"/>
      <c r="V81" s="19"/>
      <c r="W81" s="19"/>
      <c r="X81" s="19"/>
    </row>
    <row r="82" spans="1:24" ht="9.75" customHeight="1">
      <c r="A82" s="37"/>
      <c r="B82" s="19"/>
      <c r="C82" s="39"/>
      <c r="D82" s="39"/>
      <c r="E82" s="39"/>
      <c r="G82" s="164"/>
      <c r="H82" s="19"/>
      <c r="I82" s="39"/>
      <c r="J82" s="39"/>
      <c r="K82" s="171"/>
      <c r="L82" s="172"/>
      <c r="M82" s="142"/>
      <c r="N82" s="145"/>
      <c r="O82" s="142"/>
      <c r="P82" s="19"/>
      <c r="Q82" s="19"/>
      <c r="R82" s="19"/>
      <c r="S82" s="19"/>
      <c r="T82" s="19"/>
      <c r="U82" s="19"/>
      <c r="V82" s="19"/>
      <c r="W82" s="19"/>
      <c r="X82" s="19"/>
    </row>
    <row r="83" spans="1:24" ht="12" customHeight="1" hidden="1">
      <c r="A83" s="6"/>
      <c r="G83" s="162"/>
      <c r="H83" s="101"/>
      <c r="I83" s="120"/>
      <c r="J83" s="120"/>
      <c r="K83" s="171"/>
      <c r="L83" s="172"/>
      <c r="M83" s="142"/>
      <c r="N83" s="145"/>
      <c r="O83" s="142"/>
      <c r="P83" s="19"/>
      <c r="Q83" s="19"/>
      <c r="R83" s="19"/>
      <c r="S83" s="19"/>
      <c r="T83" s="19"/>
      <c r="U83" s="19"/>
      <c r="V83" s="19"/>
      <c r="W83" s="19"/>
      <c r="X83" s="19"/>
    </row>
    <row r="84" spans="1:24" ht="12" customHeight="1" hidden="1">
      <c r="A84" s="6"/>
      <c r="G84" s="163"/>
      <c r="H84" s="16"/>
      <c r="I84" s="16"/>
      <c r="J84" s="16"/>
      <c r="K84" s="171"/>
      <c r="L84" s="172"/>
      <c r="M84" s="142"/>
      <c r="N84" s="145"/>
      <c r="O84" s="142"/>
      <c r="P84" s="19"/>
      <c r="Q84" s="19"/>
      <c r="R84" s="19"/>
      <c r="S84" s="19"/>
      <c r="T84" s="19"/>
      <c r="U84" s="19"/>
      <c r="V84" s="19"/>
      <c r="W84" s="19"/>
      <c r="X84" s="19"/>
    </row>
    <row r="85" spans="1:24" ht="12" customHeight="1" hidden="1">
      <c r="A85" s="6"/>
      <c r="G85" s="162"/>
      <c r="H85" s="102"/>
      <c r="I85" s="102"/>
      <c r="J85" s="102"/>
      <c r="K85" s="171"/>
      <c r="L85" s="172"/>
      <c r="M85" s="142"/>
      <c r="N85" s="145"/>
      <c r="O85" s="142"/>
      <c r="P85" s="19"/>
      <c r="Q85" s="19"/>
      <c r="R85" s="19"/>
      <c r="S85" s="19"/>
      <c r="T85" s="19"/>
      <c r="U85" s="19"/>
      <c r="V85" s="19"/>
      <c r="W85" s="19"/>
      <c r="X85" s="19"/>
    </row>
    <row r="86" spans="1:24" ht="12" customHeight="1">
      <c r="A86" s="6"/>
      <c r="G86" s="165"/>
      <c r="H86" s="20"/>
      <c r="I86" s="20"/>
      <c r="J86" s="20"/>
      <c r="K86" s="171"/>
      <c r="L86" s="172"/>
      <c r="M86" s="142"/>
      <c r="N86" s="145"/>
      <c r="O86" s="142"/>
      <c r="P86" s="19"/>
      <c r="Q86" s="19"/>
      <c r="R86" s="19"/>
      <c r="S86" s="19"/>
      <c r="T86" s="19"/>
      <c r="U86" s="19"/>
      <c r="V86" s="19"/>
      <c r="W86" s="19"/>
      <c r="X86" s="19"/>
    </row>
    <row r="87" spans="1:24" ht="12" customHeight="1">
      <c r="A87" s="6"/>
      <c r="G87" s="165"/>
      <c r="H87" s="103"/>
      <c r="I87" s="116"/>
      <c r="J87" s="116"/>
      <c r="K87" s="171"/>
      <c r="L87" s="172"/>
      <c r="M87" s="142"/>
      <c r="N87" s="142"/>
      <c r="O87" s="142"/>
      <c r="P87" s="19"/>
      <c r="Q87" s="19"/>
      <c r="R87" s="19"/>
      <c r="S87" s="19"/>
      <c r="T87" s="19"/>
      <c r="U87" s="19"/>
      <c r="V87" s="19"/>
      <c r="W87" s="19"/>
      <c r="X87" s="19"/>
    </row>
    <row r="88" spans="1:24" ht="12" customHeight="1">
      <c r="A88" s="6"/>
      <c r="G88" s="165"/>
      <c r="H88" s="103"/>
      <c r="I88" s="116"/>
      <c r="J88" s="116"/>
      <c r="K88" s="171"/>
      <c r="L88" s="172"/>
      <c r="M88" s="142"/>
      <c r="N88" s="142"/>
      <c r="O88" s="142"/>
      <c r="P88" s="19"/>
      <c r="Q88" s="19"/>
      <c r="R88" s="19"/>
      <c r="S88" s="19"/>
      <c r="T88" s="19"/>
      <c r="U88" s="19"/>
      <c r="V88" s="19"/>
      <c r="W88" s="19"/>
      <c r="X88" s="19"/>
    </row>
    <row r="89" spans="1:24" ht="9.75">
      <c r="A89" s="6"/>
      <c r="G89" s="165"/>
      <c r="H89" s="103"/>
      <c r="I89" s="116"/>
      <c r="J89" s="116"/>
      <c r="K89" s="171"/>
      <c r="L89" s="172"/>
      <c r="M89" s="142"/>
      <c r="N89" s="142"/>
      <c r="O89" s="142"/>
      <c r="P89" s="19"/>
      <c r="Q89" s="19"/>
      <c r="R89" s="19"/>
      <c r="S89" s="19"/>
      <c r="T89" s="19"/>
      <c r="U89" s="19"/>
      <c r="V89" s="19"/>
      <c r="W89" s="19"/>
      <c r="X89" s="19"/>
    </row>
    <row r="90" spans="1:24" ht="9.75">
      <c r="A90" s="6"/>
      <c r="G90" s="165"/>
      <c r="H90" s="103"/>
      <c r="I90" s="116"/>
      <c r="J90" s="116"/>
      <c r="K90" s="171"/>
      <c r="L90" s="172"/>
      <c r="M90" s="142"/>
      <c r="N90" s="142"/>
      <c r="O90" s="142"/>
      <c r="P90" s="19"/>
      <c r="Q90" s="19"/>
      <c r="R90" s="19"/>
      <c r="S90" s="19"/>
      <c r="T90" s="19"/>
      <c r="U90" s="19"/>
      <c r="V90" s="19"/>
      <c r="W90" s="19"/>
      <c r="X90" s="19"/>
    </row>
    <row r="91" spans="1:24" ht="15" customHeight="1">
      <c r="A91" s="6"/>
      <c r="G91" s="165"/>
      <c r="H91" s="103"/>
      <c r="I91" s="116"/>
      <c r="J91" s="116"/>
      <c r="K91" s="171"/>
      <c r="L91" s="172"/>
      <c r="M91" s="142"/>
      <c r="N91" s="142"/>
      <c r="O91" s="142"/>
      <c r="P91" s="19"/>
      <c r="Q91" s="19"/>
      <c r="R91" s="19"/>
      <c r="S91" s="19"/>
      <c r="T91" s="19"/>
      <c r="U91" s="19"/>
      <c r="V91" s="19"/>
      <c r="W91" s="19"/>
      <c r="X91" s="19"/>
    </row>
    <row r="92" spans="1:24" ht="12" customHeight="1">
      <c r="A92" s="6"/>
      <c r="G92" s="165"/>
      <c r="H92" s="103"/>
      <c r="I92" s="116"/>
      <c r="J92" s="116"/>
      <c r="K92" s="171"/>
      <c r="L92" s="172"/>
      <c r="M92" s="142"/>
      <c r="N92" s="142"/>
      <c r="O92" s="142"/>
      <c r="P92" s="19"/>
      <c r="Q92" s="19"/>
      <c r="R92" s="19"/>
      <c r="S92" s="19"/>
      <c r="T92" s="19"/>
      <c r="U92" s="19"/>
      <c r="V92" s="19"/>
      <c r="W92" s="19"/>
      <c r="X92" s="19"/>
    </row>
    <row r="93" spans="1:24" ht="12" customHeight="1">
      <c r="A93" s="6"/>
      <c r="G93" s="166"/>
      <c r="H93" s="151"/>
      <c r="I93" s="141"/>
      <c r="J93" s="137"/>
      <c r="K93" s="171">
        <f>D63</f>
        <v>0</v>
      </c>
      <c r="L93" s="172" t="b">
        <v>0</v>
      </c>
      <c r="M93" s="142"/>
      <c r="N93" s="142"/>
      <c r="O93" s="142"/>
      <c r="P93" s="19"/>
      <c r="Q93" s="19"/>
      <c r="R93" s="19"/>
      <c r="S93" s="19"/>
      <c r="T93" s="19"/>
      <c r="U93" s="19"/>
      <c r="V93" s="19"/>
      <c r="W93" s="19"/>
      <c r="X93" s="19"/>
    </row>
    <row r="94" spans="1:24" ht="12" customHeight="1">
      <c r="A94" s="6"/>
      <c r="G94" s="166"/>
      <c r="H94" s="151"/>
      <c r="I94" s="141"/>
      <c r="J94" s="137"/>
      <c r="K94" s="171"/>
      <c r="L94" s="172"/>
      <c r="M94" s="142"/>
      <c r="N94" s="142"/>
      <c r="O94" s="142"/>
      <c r="P94" s="19"/>
      <c r="Q94" s="19"/>
      <c r="R94" s="19"/>
      <c r="S94" s="19"/>
      <c r="T94" s="19"/>
      <c r="U94" s="19"/>
      <c r="V94" s="19"/>
      <c r="W94" s="19"/>
      <c r="X94" s="19"/>
    </row>
    <row r="95" spans="1:24" ht="12" customHeight="1">
      <c r="A95" s="6"/>
      <c r="G95" s="167"/>
      <c r="H95" s="152"/>
      <c r="I95" s="138"/>
      <c r="J95" s="138"/>
      <c r="K95" s="172"/>
      <c r="L95" s="172"/>
      <c r="M95" s="142"/>
      <c r="N95" s="142"/>
      <c r="O95" s="142"/>
      <c r="P95" s="19"/>
      <c r="Q95" s="19"/>
      <c r="R95" s="19"/>
      <c r="S95" s="19"/>
      <c r="T95" s="19"/>
      <c r="U95" s="19"/>
      <c r="V95" s="19"/>
      <c r="W95" s="19"/>
      <c r="X95" s="19"/>
    </row>
    <row r="96" spans="1:24" ht="12" customHeight="1">
      <c r="A96" s="28"/>
      <c r="B96" s="19"/>
      <c r="C96" s="16"/>
      <c r="D96" s="16"/>
      <c r="E96" s="16"/>
      <c r="G96" s="19"/>
      <c r="H96" s="19"/>
      <c r="I96" s="19"/>
      <c r="J96" s="19"/>
      <c r="K96" s="142"/>
      <c r="L96" s="16"/>
      <c r="M96" s="142"/>
      <c r="N96" s="142"/>
      <c r="O96" s="142"/>
      <c r="P96" s="19"/>
      <c r="Q96" s="19"/>
      <c r="R96" s="19"/>
      <c r="S96" s="19"/>
      <c r="T96" s="19"/>
      <c r="U96" s="19"/>
      <c r="V96" s="19"/>
      <c r="W96" s="19"/>
      <c r="X96" s="19"/>
    </row>
    <row r="97" spans="1:24" ht="12" customHeight="1">
      <c r="A97" s="19"/>
      <c r="B97" s="19"/>
      <c r="C97" s="19"/>
      <c r="D97" s="16"/>
      <c r="E97" s="16"/>
      <c r="G97" s="19"/>
      <c r="H97" s="19"/>
      <c r="I97" s="19"/>
      <c r="J97" s="19"/>
      <c r="K97" s="142"/>
      <c r="L97" s="20"/>
      <c r="M97" s="142"/>
      <c r="N97" s="142"/>
      <c r="O97" s="142"/>
      <c r="P97" s="19"/>
      <c r="Q97" s="19"/>
      <c r="R97" s="19"/>
      <c r="S97" s="19"/>
      <c r="T97" s="19"/>
      <c r="U97" s="19"/>
      <c r="V97" s="19"/>
      <c r="W97" s="19"/>
      <c r="X97" s="19"/>
    </row>
    <row r="98" spans="1:24" ht="12" customHeight="1">
      <c r="A98" s="19"/>
      <c r="B98" s="19"/>
      <c r="C98" s="19"/>
      <c r="D98" s="16"/>
      <c r="E98" s="16"/>
      <c r="G98" s="19"/>
      <c r="H98" s="19"/>
      <c r="I98" s="19"/>
      <c r="J98" s="19"/>
      <c r="K98" s="142"/>
      <c r="L98" s="16"/>
      <c r="M98" s="142"/>
      <c r="N98" s="142"/>
      <c r="O98" s="142"/>
      <c r="P98" s="19"/>
      <c r="Q98" s="19"/>
      <c r="R98" s="19"/>
      <c r="S98" s="19"/>
      <c r="T98" s="19"/>
      <c r="U98" s="19"/>
      <c r="V98" s="19"/>
      <c r="W98" s="19"/>
      <c r="X98" s="19"/>
    </row>
    <row r="99" spans="1:24" ht="12" customHeight="1">
      <c r="A99" s="19"/>
      <c r="B99" s="19"/>
      <c r="C99" s="19"/>
      <c r="D99" s="16"/>
      <c r="E99" s="16"/>
      <c r="F99" s="16"/>
      <c r="G99" s="19"/>
      <c r="H99" s="19"/>
      <c r="I99" s="113"/>
      <c r="J99" s="113"/>
      <c r="K99" s="142"/>
      <c r="L99" s="142"/>
      <c r="M99" s="142"/>
      <c r="N99" s="142"/>
      <c r="O99" s="142"/>
      <c r="P99" s="19"/>
      <c r="Q99" s="19"/>
      <c r="R99" s="19"/>
      <c r="S99" s="19"/>
      <c r="T99" s="19"/>
      <c r="U99" s="19"/>
      <c r="V99" s="19"/>
      <c r="W99" s="19"/>
      <c r="X99" s="19"/>
    </row>
    <row r="100" spans="1:24" ht="12" customHeight="1">
      <c r="A100" s="6"/>
      <c r="D100" s="2"/>
      <c r="E100" s="2"/>
      <c r="F100" s="2"/>
      <c r="G100" s="19"/>
      <c r="H100" s="19"/>
      <c r="I100" s="19"/>
      <c r="J100" s="19"/>
      <c r="K100" s="142"/>
      <c r="L100" s="142"/>
      <c r="M100" s="142"/>
      <c r="N100" s="142"/>
      <c r="O100" s="142"/>
      <c r="P100" s="19"/>
      <c r="Q100" s="19"/>
      <c r="R100" s="19"/>
      <c r="S100" s="19"/>
      <c r="T100" s="19"/>
      <c r="U100" s="19"/>
      <c r="V100" s="19"/>
      <c r="W100" s="19"/>
      <c r="X100" s="19"/>
    </row>
    <row r="101" spans="1:24" ht="12" customHeight="1">
      <c r="A101" s="6"/>
      <c r="D101" s="2"/>
      <c r="E101" s="2"/>
      <c r="F101" s="8"/>
      <c r="G101" s="19"/>
      <c r="H101" s="19"/>
      <c r="I101" s="19"/>
      <c r="J101" s="19"/>
      <c r="K101" s="19"/>
      <c r="L101" s="19"/>
      <c r="M101" s="19"/>
      <c r="N101" s="19"/>
      <c r="O101" s="19"/>
      <c r="P101" s="19"/>
      <c r="Q101" s="19"/>
      <c r="R101" s="19"/>
      <c r="S101" s="19"/>
      <c r="T101" s="19"/>
      <c r="U101" s="19"/>
      <c r="V101" s="19"/>
      <c r="W101" s="19"/>
      <c r="X101" s="19"/>
    </row>
    <row r="102" spans="1:24" ht="9.75">
      <c r="A102" s="6"/>
      <c r="D102" s="2"/>
      <c r="E102" s="2"/>
      <c r="F102" s="2"/>
      <c r="G102" s="19"/>
      <c r="H102" s="19"/>
      <c r="I102" s="19"/>
      <c r="J102" s="19"/>
      <c r="K102" s="19"/>
      <c r="L102" s="19"/>
      <c r="M102" s="19"/>
      <c r="N102" s="19"/>
      <c r="O102" s="19"/>
      <c r="P102" s="19"/>
      <c r="Q102" s="19"/>
      <c r="R102" s="19"/>
      <c r="S102" s="19"/>
      <c r="T102" s="19"/>
      <c r="U102" s="19"/>
      <c r="V102" s="19"/>
      <c r="W102" s="19"/>
      <c r="X102" s="19"/>
    </row>
    <row r="103" spans="1:24" ht="9.75">
      <c r="A103" s="6"/>
      <c r="D103" s="2"/>
      <c r="E103" s="2"/>
      <c r="F103" s="2"/>
      <c r="G103" s="19"/>
      <c r="H103" s="19"/>
      <c r="I103" s="19"/>
      <c r="J103" s="19"/>
      <c r="K103" s="19"/>
      <c r="L103" s="19"/>
      <c r="M103" s="19"/>
      <c r="N103" s="19"/>
      <c r="O103" s="19"/>
      <c r="P103" s="19"/>
      <c r="Q103" s="19"/>
      <c r="R103" s="19"/>
      <c r="S103" s="19"/>
      <c r="T103" s="19"/>
      <c r="U103" s="19"/>
      <c r="V103" s="19"/>
      <c r="W103" s="19"/>
      <c r="X103" s="19"/>
    </row>
    <row r="104" spans="1:24" ht="9.75">
      <c r="A104" s="1"/>
      <c r="B104" s="9"/>
      <c r="C104" s="2"/>
      <c r="D104" s="2"/>
      <c r="E104" s="2"/>
      <c r="F104" s="2"/>
      <c r="G104" s="19"/>
      <c r="H104" s="19"/>
      <c r="I104" s="19"/>
      <c r="J104" s="19"/>
      <c r="K104" s="19"/>
      <c r="L104" s="19"/>
      <c r="M104" s="19"/>
      <c r="N104" s="19"/>
      <c r="O104" s="19"/>
      <c r="P104" s="19"/>
      <c r="Q104" s="19"/>
      <c r="R104" s="19"/>
      <c r="S104" s="19"/>
      <c r="T104" s="19"/>
      <c r="U104" s="19"/>
      <c r="V104" s="19"/>
      <c r="W104" s="19"/>
      <c r="X104" s="19"/>
    </row>
    <row r="105" spans="1:24" ht="9.75">
      <c r="A105" s="4"/>
      <c r="B105" s="9"/>
      <c r="C105" s="2"/>
      <c r="D105" s="2"/>
      <c r="E105" s="2"/>
      <c r="F105" s="2"/>
      <c r="G105" s="19"/>
      <c r="H105" s="19"/>
      <c r="I105" s="19"/>
      <c r="J105" s="19"/>
      <c r="K105" s="19"/>
      <c r="L105" s="19"/>
      <c r="M105" s="19"/>
      <c r="N105" s="19"/>
      <c r="O105" s="19"/>
      <c r="P105" s="19"/>
      <c r="Q105" s="19"/>
      <c r="R105" s="19"/>
      <c r="S105" s="19"/>
      <c r="T105" s="19"/>
      <c r="U105" s="19"/>
      <c r="V105" s="19"/>
      <c r="W105" s="19"/>
      <c r="X105" s="19"/>
    </row>
    <row r="106" spans="1:24" ht="9.75">
      <c r="A106" s="1"/>
      <c r="C106" s="11"/>
      <c r="D106" s="11"/>
      <c r="E106" s="11"/>
      <c r="F106" s="2"/>
      <c r="G106" s="19"/>
      <c r="H106" s="19"/>
      <c r="I106" s="19"/>
      <c r="J106" s="19"/>
      <c r="K106" s="19"/>
      <c r="L106" s="19"/>
      <c r="M106" s="19"/>
      <c r="N106" s="19"/>
      <c r="O106" s="19"/>
      <c r="P106" s="19"/>
      <c r="Q106" s="19"/>
      <c r="R106" s="19"/>
      <c r="S106" s="19"/>
      <c r="T106" s="19"/>
      <c r="U106" s="19"/>
      <c r="V106" s="19"/>
      <c r="W106" s="19"/>
      <c r="X106" s="19"/>
    </row>
    <row r="107" spans="1:24" ht="9.75">
      <c r="A107" s="1"/>
      <c r="B107" s="2"/>
      <c r="C107" s="2"/>
      <c r="D107" s="2"/>
      <c r="E107" s="2"/>
      <c r="F107" s="7"/>
      <c r="G107" s="19"/>
      <c r="H107" s="19"/>
      <c r="I107" s="19"/>
      <c r="J107" s="19"/>
      <c r="K107" s="19"/>
      <c r="L107" s="19"/>
      <c r="M107" s="19"/>
      <c r="N107" s="19"/>
      <c r="O107" s="19"/>
      <c r="P107" s="19"/>
      <c r="Q107" s="19"/>
      <c r="R107" s="19"/>
      <c r="S107" s="19"/>
      <c r="T107" s="19"/>
      <c r="U107" s="19"/>
      <c r="V107" s="19"/>
      <c r="W107" s="19"/>
      <c r="X107" s="19"/>
    </row>
    <row r="108" spans="1:24" ht="9.75">
      <c r="A108" s="1"/>
      <c r="B108" s="2"/>
      <c r="C108" s="3"/>
      <c r="D108" s="3"/>
      <c r="E108" s="3"/>
      <c r="F108" s="7"/>
      <c r="G108" s="19"/>
      <c r="H108" s="19"/>
      <c r="I108" s="19"/>
      <c r="J108" s="19"/>
      <c r="K108" s="19"/>
      <c r="L108" s="19"/>
      <c r="M108" s="19"/>
      <c r="N108" s="19"/>
      <c r="O108" s="19"/>
      <c r="P108" s="19"/>
      <c r="Q108" s="19"/>
      <c r="R108" s="19"/>
      <c r="S108" s="19"/>
      <c r="T108" s="19"/>
      <c r="U108" s="19"/>
      <c r="V108" s="19"/>
      <c r="W108" s="19"/>
      <c r="X108" s="19"/>
    </row>
    <row r="109" spans="1:24" ht="9.75">
      <c r="A109" s="4"/>
      <c r="B109" s="13"/>
      <c r="C109" s="8"/>
      <c r="D109" s="8"/>
      <c r="E109" s="8"/>
      <c r="F109" s="2"/>
      <c r="G109" s="19"/>
      <c r="H109" s="19"/>
      <c r="I109" s="19"/>
      <c r="J109" s="19"/>
      <c r="K109" s="19"/>
      <c r="L109" s="19"/>
      <c r="M109" s="19"/>
      <c r="N109" s="19"/>
      <c r="O109" s="19"/>
      <c r="P109" s="19"/>
      <c r="Q109" s="19"/>
      <c r="R109" s="19"/>
      <c r="S109" s="19"/>
      <c r="T109" s="19"/>
      <c r="U109" s="19"/>
      <c r="V109" s="19"/>
      <c r="W109" s="19"/>
      <c r="X109" s="19"/>
    </row>
    <row r="110" spans="1:24" ht="9.75">
      <c r="A110" s="4"/>
      <c r="B110" s="13"/>
      <c r="C110" s="8"/>
      <c r="D110" s="8"/>
      <c r="E110" s="8"/>
      <c r="F110" s="2"/>
      <c r="G110" s="19"/>
      <c r="H110" s="19"/>
      <c r="I110" s="19"/>
      <c r="J110" s="19"/>
      <c r="K110" s="19"/>
      <c r="L110" s="19"/>
      <c r="M110" s="19"/>
      <c r="N110" s="19"/>
      <c r="O110" s="19"/>
      <c r="P110" s="19"/>
      <c r="Q110" s="19"/>
      <c r="R110" s="19"/>
      <c r="S110" s="19"/>
      <c r="T110" s="19"/>
      <c r="U110" s="19"/>
      <c r="V110" s="19"/>
      <c r="W110" s="19"/>
      <c r="X110" s="19"/>
    </row>
    <row r="111" spans="1:24" ht="9.75">
      <c r="A111" s="4"/>
      <c r="B111" s="13"/>
      <c r="C111" s="8"/>
      <c r="D111" s="8"/>
      <c r="E111" s="8"/>
      <c r="F111" s="2"/>
      <c r="G111" s="19"/>
      <c r="H111" s="19"/>
      <c r="I111" s="19"/>
      <c r="J111" s="19"/>
      <c r="K111" s="19"/>
      <c r="L111" s="19"/>
      <c r="M111" s="19"/>
      <c r="N111" s="19"/>
      <c r="O111" s="19"/>
      <c r="P111" s="19"/>
      <c r="Q111" s="19"/>
      <c r="R111" s="19"/>
      <c r="S111" s="19"/>
      <c r="T111" s="19"/>
      <c r="U111" s="19"/>
      <c r="V111" s="19"/>
      <c r="W111" s="19"/>
      <c r="X111" s="19"/>
    </row>
    <row r="112" spans="1:24" ht="9.75">
      <c r="A112" s="1"/>
      <c r="B112" s="2"/>
      <c r="C112" s="2"/>
      <c r="D112" s="2"/>
      <c r="E112" s="2"/>
      <c r="F112" s="2"/>
      <c r="G112" s="19"/>
      <c r="H112" s="19"/>
      <c r="I112" s="19"/>
      <c r="J112" s="19"/>
      <c r="K112" s="19"/>
      <c r="L112" s="19"/>
      <c r="M112" s="19"/>
      <c r="N112" s="19"/>
      <c r="O112" s="19"/>
      <c r="P112" s="19"/>
      <c r="Q112" s="19"/>
      <c r="R112" s="19"/>
      <c r="S112" s="19"/>
      <c r="T112" s="19"/>
      <c r="U112" s="19"/>
      <c r="V112" s="19"/>
      <c r="W112" s="19"/>
      <c r="X112" s="19"/>
    </row>
    <row r="113" spans="1:24" ht="9.75">
      <c r="A113" s="1"/>
      <c r="B113" s="2"/>
      <c r="C113" s="2"/>
      <c r="D113" s="2"/>
      <c r="E113" s="2"/>
      <c r="F113" s="2"/>
      <c r="G113" s="19"/>
      <c r="H113" s="19"/>
      <c r="I113" s="19"/>
      <c r="J113" s="19"/>
      <c r="K113" s="19"/>
      <c r="L113" s="19"/>
      <c r="M113" s="19"/>
      <c r="N113" s="19"/>
      <c r="O113" s="19"/>
      <c r="P113" s="19"/>
      <c r="Q113" s="19"/>
      <c r="R113" s="19"/>
      <c r="S113" s="19"/>
      <c r="T113" s="19"/>
      <c r="U113" s="19"/>
      <c r="V113" s="19"/>
      <c r="W113" s="19"/>
      <c r="X113" s="19"/>
    </row>
    <row r="114" spans="1:24" ht="9.75">
      <c r="A114" s="1"/>
      <c r="B114" s="2"/>
      <c r="C114" s="2"/>
      <c r="D114" s="2"/>
      <c r="E114" s="2"/>
      <c r="F114" s="10"/>
      <c r="G114" s="19"/>
      <c r="H114" s="19"/>
      <c r="I114" s="19"/>
      <c r="J114" s="19"/>
      <c r="K114" s="19"/>
      <c r="L114" s="19"/>
      <c r="M114" s="19"/>
      <c r="N114" s="19"/>
      <c r="O114" s="19"/>
      <c r="P114" s="19"/>
      <c r="Q114" s="19"/>
      <c r="R114" s="19"/>
      <c r="S114" s="19"/>
      <c r="T114" s="19"/>
      <c r="U114" s="19"/>
      <c r="V114" s="19"/>
      <c r="W114" s="19"/>
      <c r="X114" s="19"/>
    </row>
    <row r="115" spans="1:24" ht="9.75">
      <c r="A115" s="1"/>
      <c r="B115" s="2"/>
      <c r="C115" s="2"/>
      <c r="D115" s="2"/>
      <c r="E115" s="2"/>
      <c r="F115" s="2"/>
      <c r="G115" s="19"/>
      <c r="H115" s="19"/>
      <c r="I115" s="19"/>
      <c r="J115" s="19"/>
      <c r="K115" s="19"/>
      <c r="L115" s="19"/>
      <c r="M115" s="19"/>
      <c r="N115" s="19"/>
      <c r="O115" s="19"/>
      <c r="P115" s="19"/>
      <c r="Q115" s="19"/>
      <c r="R115" s="19"/>
      <c r="S115" s="19"/>
      <c r="T115" s="19"/>
      <c r="U115" s="19"/>
      <c r="V115" s="19"/>
      <c r="W115" s="19"/>
      <c r="X115" s="19"/>
    </row>
    <row r="116" spans="1:24" ht="9.75">
      <c r="A116" s="1"/>
      <c r="B116" s="2"/>
      <c r="C116" s="2"/>
      <c r="D116" s="2"/>
      <c r="E116" s="2"/>
      <c r="F116" s="2"/>
      <c r="G116" s="19"/>
      <c r="H116" s="19"/>
      <c r="I116" s="19"/>
      <c r="J116" s="19"/>
      <c r="K116" s="19"/>
      <c r="L116" s="19"/>
      <c r="M116" s="19"/>
      <c r="N116" s="19"/>
      <c r="O116" s="19"/>
      <c r="P116" s="19"/>
      <c r="Q116" s="19"/>
      <c r="R116" s="19"/>
      <c r="S116" s="19"/>
      <c r="T116" s="19"/>
      <c r="U116" s="19"/>
      <c r="V116" s="19"/>
      <c r="W116" s="19"/>
      <c r="X116" s="19"/>
    </row>
    <row r="117" spans="1:24" ht="9.75">
      <c r="A117" s="1"/>
      <c r="B117" s="2"/>
      <c r="C117" s="2"/>
      <c r="D117" s="2"/>
      <c r="E117" s="2"/>
      <c r="F117" s="2"/>
      <c r="G117" s="19"/>
      <c r="H117" s="19"/>
      <c r="I117" s="19"/>
      <c r="J117" s="19"/>
      <c r="K117" s="19"/>
      <c r="L117" s="19"/>
      <c r="M117" s="19"/>
      <c r="N117" s="19"/>
      <c r="O117" s="19"/>
      <c r="P117" s="19"/>
      <c r="Q117" s="19"/>
      <c r="R117" s="19"/>
      <c r="S117" s="19"/>
      <c r="T117" s="19"/>
      <c r="U117" s="19"/>
      <c r="V117" s="19"/>
      <c r="W117" s="19"/>
      <c r="X117" s="19"/>
    </row>
    <row r="118" spans="1:24" ht="9.75">
      <c r="A118" s="1"/>
      <c r="B118" s="2"/>
      <c r="C118" s="2"/>
      <c r="D118" s="2"/>
      <c r="E118" s="2"/>
      <c r="F118" s="2"/>
      <c r="G118" s="19"/>
      <c r="H118" s="19"/>
      <c r="I118" s="19"/>
      <c r="J118" s="19"/>
      <c r="K118" s="19"/>
      <c r="L118" s="19"/>
      <c r="M118" s="19"/>
      <c r="N118" s="19"/>
      <c r="O118" s="19"/>
      <c r="P118" s="19"/>
      <c r="Q118" s="19"/>
      <c r="R118" s="19"/>
      <c r="S118" s="19"/>
      <c r="T118" s="19"/>
      <c r="U118" s="19"/>
      <c r="V118" s="19"/>
      <c r="W118" s="19"/>
      <c r="X118" s="19"/>
    </row>
    <row r="119" spans="1:24" ht="9.75">
      <c r="A119" s="1"/>
      <c r="B119" s="2"/>
      <c r="C119" s="5"/>
      <c r="D119" s="5"/>
      <c r="E119" s="5"/>
      <c r="F119" s="2"/>
      <c r="G119" s="19"/>
      <c r="H119" s="19"/>
      <c r="I119" s="19"/>
      <c r="J119" s="19"/>
      <c r="K119" s="19"/>
      <c r="L119" s="19"/>
      <c r="M119" s="19"/>
      <c r="N119" s="19"/>
      <c r="O119" s="19"/>
      <c r="P119" s="19"/>
      <c r="Q119" s="19"/>
      <c r="R119" s="19"/>
      <c r="S119" s="19"/>
      <c r="T119" s="19"/>
      <c r="U119" s="19"/>
      <c r="V119" s="19"/>
      <c r="W119" s="19"/>
      <c r="X119" s="19"/>
    </row>
    <row r="120" spans="1:24" ht="9.75">
      <c r="A120" s="4"/>
      <c r="B120" s="14"/>
      <c r="C120" s="2"/>
      <c r="D120" s="2"/>
      <c r="E120" s="2"/>
      <c r="F120" s="2"/>
      <c r="G120" s="19"/>
      <c r="H120" s="19"/>
      <c r="I120" s="19"/>
      <c r="J120" s="19"/>
      <c r="K120" s="19"/>
      <c r="L120" s="19"/>
      <c r="M120" s="19"/>
      <c r="N120" s="19"/>
      <c r="O120" s="19"/>
      <c r="P120" s="19"/>
      <c r="Q120" s="19"/>
      <c r="R120" s="19"/>
      <c r="S120" s="19"/>
      <c r="T120" s="19"/>
      <c r="U120" s="19"/>
      <c r="V120" s="19"/>
      <c r="W120" s="19"/>
      <c r="X120" s="19"/>
    </row>
    <row r="121" spans="1:24" ht="9.75">
      <c r="A121" s="1"/>
      <c r="B121" s="2"/>
      <c r="C121" s="3"/>
      <c r="D121" s="3"/>
      <c r="E121" s="3"/>
      <c r="F121" s="2"/>
      <c r="G121" s="19"/>
      <c r="H121" s="19"/>
      <c r="I121" s="19"/>
      <c r="J121" s="19"/>
      <c r="K121" s="19"/>
      <c r="L121" s="19"/>
      <c r="M121" s="19"/>
      <c r="N121" s="19"/>
      <c r="O121" s="19"/>
      <c r="P121" s="19"/>
      <c r="Q121" s="19"/>
      <c r="R121" s="19"/>
      <c r="S121" s="19"/>
      <c r="T121" s="19"/>
      <c r="U121" s="19"/>
      <c r="V121" s="19"/>
      <c r="W121" s="19"/>
      <c r="X121" s="19"/>
    </row>
    <row r="122" spans="1:24" ht="9.75">
      <c r="A122" s="4"/>
      <c r="B122" s="2"/>
      <c r="C122" s="3"/>
      <c r="D122" s="3"/>
      <c r="E122" s="3"/>
      <c r="F122" s="2"/>
      <c r="G122" s="19"/>
      <c r="H122" s="19"/>
      <c r="I122" s="19"/>
      <c r="J122" s="19"/>
      <c r="K122" s="19"/>
      <c r="L122" s="19"/>
      <c r="M122" s="19"/>
      <c r="N122" s="19"/>
      <c r="O122" s="19"/>
      <c r="P122" s="19"/>
      <c r="Q122" s="19"/>
      <c r="R122" s="19"/>
      <c r="S122" s="19"/>
      <c r="T122" s="19"/>
      <c r="U122" s="19"/>
      <c r="V122" s="19"/>
      <c r="W122" s="19"/>
      <c r="X122" s="19"/>
    </row>
    <row r="123" spans="1:24" ht="9.75">
      <c r="A123" s="1"/>
      <c r="B123" s="2"/>
      <c r="C123" s="2"/>
      <c r="D123" s="2"/>
      <c r="E123" s="2"/>
      <c r="F123" s="2"/>
      <c r="G123" s="19"/>
      <c r="H123" s="19"/>
      <c r="I123" s="19"/>
      <c r="J123" s="19"/>
      <c r="K123" s="19"/>
      <c r="L123" s="19"/>
      <c r="M123" s="19"/>
      <c r="N123" s="19"/>
      <c r="O123" s="19"/>
      <c r="P123" s="19"/>
      <c r="Q123" s="19"/>
      <c r="R123" s="19"/>
      <c r="S123" s="19"/>
      <c r="T123" s="19"/>
      <c r="U123" s="19"/>
      <c r="V123" s="19"/>
      <c r="W123" s="19"/>
      <c r="X123" s="19"/>
    </row>
    <row r="124" spans="1:24" ht="9.75">
      <c r="A124" s="1"/>
      <c r="B124" s="7"/>
      <c r="C124" s="3"/>
      <c r="D124" s="3"/>
      <c r="E124" s="3"/>
      <c r="F124" s="2"/>
      <c r="G124" s="19"/>
      <c r="H124" s="19"/>
      <c r="I124" s="19"/>
      <c r="J124" s="19"/>
      <c r="K124" s="19"/>
      <c r="L124" s="19"/>
      <c r="M124" s="19"/>
      <c r="N124" s="19"/>
      <c r="O124" s="19"/>
      <c r="P124" s="19"/>
      <c r="Q124" s="19"/>
      <c r="R124" s="19"/>
      <c r="S124" s="19"/>
      <c r="T124" s="19"/>
      <c r="U124" s="19"/>
      <c r="V124" s="19"/>
      <c r="W124" s="19"/>
      <c r="X124" s="19"/>
    </row>
    <row r="125" spans="1:24" ht="9.75">
      <c r="A125" s="1"/>
      <c r="B125" s="7"/>
      <c r="C125" s="3"/>
      <c r="D125" s="3"/>
      <c r="E125" s="3"/>
      <c r="F125" s="2"/>
      <c r="G125" s="19"/>
      <c r="H125" s="19"/>
      <c r="I125" s="19"/>
      <c r="J125" s="19"/>
      <c r="K125" s="19"/>
      <c r="L125" s="19"/>
      <c r="M125" s="19"/>
      <c r="N125" s="19"/>
      <c r="O125" s="19"/>
      <c r="P125" s="19"/>
      <c r="Q125" s="19"/>
      <c r="R125" s="19"/>
      <c r="S125" s="19"/>
      <c r="T125" s="19"/>
      <c r="U125" s="19"/>
      <c r="V125" s="19"/>
      <c r="W125" s="19"/>
      <c r="X125" s="19"/>
    </row>
    <row r="126" spans="1:24" ht="9.75">
      <c r="A126" s="1"/>
      <c r="B126" s="7"/>
      <c r="C126" s="2"/>
      <c r="D126" s="2"/>
      <c r="E126" s="2"/>
      <c r="F126" s="2"/>
      <c r="G126" s="19"/>
      <c r="H126" s="19"/>
      <c r="I126" s="19"/>
      <c r="J126" s="19"/>
      <c r="K126" s="19"/>
      <c r="L126" s="19"/>
      <c r="M126" s="19"/>
      <c r="N126" s="19"/>
      <c r="O126" s="19"/>
      <c r="P126" s="19"/>
      <c r="Q126" s="19"/>
      <c r="R126" s="19"/>
      <c r="S126" s="19"/>
      <c r="T126" s="19"/>
      <c r="U126" s="19"/>
      <c r="V126" s="19"/>
      <c r="W126" s="19"/>
      <c r="X126" s="19"/>
    </row>
    <row r="127" spans="1:24" ht="9.75">
      <c r="A127" s="1"/>
      <c r="B127" s="7"/>
      <c r="C127" s="3"/>
      <c r="D127" s="3"/>
      <c r="E127" s="3"/>
      <c r="F127" s="2"/>
      <c r="G127" s="19"/>
      <c r="H127" s="19"/>
      <c r="I127" s="19"/>
      <c r="J127" s="19"/>
      <c r="K127" s="19"/>
      <c r="L127" s="19"/>
      <c r="M127" s="19"/>
      <c r="N127" s="19"/>
      <c r="O127" s="19"/>
      <c r="P127" s="19"/>
      <c r="Q127" s="19"/>
      <c r="R127" s="19"/>
      <c r="S127" s="19"/>
      <c r="T127" s="19"/>
      <c r="U127" s="19"/>
      <c r="V127" s="19"/>
      <c r="W127" s="19"/>
      <c r="X127" s="19"/>
    </row>
    <row r="128" spans="1:24" ht="9.75">
      <c r="A128" s="1"/>
      <c r="B128" s="7"/>
      <c r="C128" s="3"/>
      <c r="D128" s="3"/>
      <c r="E128" s="3"/>
      <c r="F128" s="2"/>
      <c r="G128" s="19"/>
      <c r="H128" s="19"/>
      <c r="I128" s="19"/>
      <c r="J128" s="19"/>
      <c r="K128" s="19"/>
      <c r="L128" s="19"/>
      <c r="M128" s="19"/>
      <c r="N128" s="19"/>
      <c r="O128" s="19"/>
      <c r="P128" s="19"/>
      <c r="Q128" s="19"/>
      <c r="R128" s="19"/>
      <c r="S128" s="19"/>
      <c r="T128" s="19"/>
      <c r="U128" s="19"/>
      <c r="V128" s="19"/>
      <c r="W128" s="19"/>
      <c r="X128" s="19"/>
    </row>
    <row r="129" spans="1:24" ht="9.75">
      <c r="A129" s="4"/>
      <c r="B129" s="2"/>
      <c r="C129" s="2"/>
      <c r="D129" s="2"/>
      <c r="E129" s="2"/>
      <c r="F129" s="5"/>
      <c r="G129" s="19"/>
      <c r="H129" s="19"/>
      <c r="I129" s="19"/>
      <c r="J129" s="19"/>
      <c r="K129" s="19"/>
      <c r="L129" s="19"/>
      <c r="M129" s="19"/>
      <c r="N129" s="19"/>
      <c r="O129" s="19"/>
      <c r="P129" s="19"/>
      <c r="Q129" s="19"/>
      <c r="R129" s="19"/>
      <c r="S129" s="19"/>
      <c r="T129" s="19"/>
      <c r="U129" s="19"/>
      <c r="V129" s="19"/>
      <c r="W129" s="19"/>
      <c r="X129" s="19"/>
    </row>
    <row r="130" spans="1:24" ht="9.75">
      <c r="A130" s="1"/>
      <c r="B130" s="3"/>
      <c r="C130" s="3"/>
      <c r="D130" s="3"/>
      <c r="E130" s="3"/>
      <c r="F130" s="5"/>
      <c r="G130" s="19"/>
      <c r="H130" s="19"/>
      <c r="I130" s="19"/>
      <c r="J130" s="19"/>
      <c r="K130" s="19"/>
      <c r="L130" s="19"/>
      <c r="M130" s="19"/>
      <c r="N130" s="19"/>
      <c r="O130" s="19"/>
      <c r="P130" s="19"/>
      <c r="Q130" s="19"/>
      <c r="R130" s="19"/>
      <c r="S130" s="19"/>
      <c r="T130" s="19"/>
      <c r="U130" s="19"/>
      <c r="V130" s="19"/>
      <c r="W130" s="19"/>
      <c r="X130" s="19"/>
    </row>
    <row r="131" spans="1:24" ht="9.75">
      <c r="A131" s="4"/>
      <c r="B131" s="2"/>
      <c r="C131" s="2"/>
      <c r="D131" s="2"/>
      <c r="E131" s="2"/>
      <c r="F131" s="5"/>
      <c r="G131" s="19"/>
      <c r="H131" s="19"/>
      <c r="I131" s="19"/>
      <c r="J131" s="19"/>
      <c r="K131" s="19"/>
      <c r="L131" s="19"/>
      <c r="M131" s="19"/>
      <c r="N131" s="19"/>
      <c r="O131" s="19"/>
      <c r="P131" s="19"/>
      <c r="Q131" s="19"/>
      <c r="R131" s="19"/>
      <c r="S131" s="19"/>
      <c r="T131" s="19"/>
      <c r="U131" s="19"/>
      <c r="V131" s="19"/>
      <c r="W131" s="19"/>
      <c r="X131" s="19"/>
    </row>
    <row r="132" spans="1:24" ht="9.75">
      <c r="A132" s="4"/>
      <c r="B132" s="2"/>
      <c r="C132" s="2"/>
      <c r="D132" s="2"/>
      <c r="E132" s="2"/>
      <c r="F132" s="10"/>
      <c r="G132" s="19"/>
      <c r="H132" s="19"/>
      <c r="I132" s="19"/>
      <c r="J132" s="19"/>
      <c r="K132" s="19"/>
      <c r="L132" s="19"/>
      <c r="M132" s="19"/>
      <c r="N132" s="19"/>
      <c r="O132" s="19"/>
      <c r="P132" s="19"/>
      <c r="Q132" s="19"/>
      <c r="R132" s="19"/>
      <c r="S132" s="19"/>
      <c r="T132" s="19"/>
      <c r="U132" s="19"/>
      <c r="V132" s="19"/>
      <c r="W132" s="19"/>
      <c r="X132" s="19"/>
    </row>
    <row r="133" spans="1:24" ht="9.75">
      <c r="A133" s="1"/>
      <c r="B133" s="2"/>
      <c r="C133" s="2"/>
      <c r="D133" s="2"/>
      <c r="E133" s="2"/>
      <c r="F133" s="2"/>
      <c r="G133" s="19"/>
      <c r="H133" s="19"/>
      <c r="I133" s="19"/>
      <c r="J133" s="19"/>
      <c r="K133" s="19"/>
      <c r="L133" s="19"/>
      <c r="M133" s="19"/>
      <c r="N133" s="19"/>
      <c r="O133" s="19"/>
      <c r="P133" s="19"/>
      <c r="Q133" s="19"/>
      <c r="R133" s="19"/>
      <c r="S133" s="19"/>
      <c r="T133" s="19"/>
      <c r="U133" s="19"/>
      <c r="V133" s="19"/>
      <c r="W133" s="19"/>
      <c r="X133" s="19"/>
    </row>
    <row r="134" spans="1:24" ht="9.75">
      <c r="A134" s="1"/>
      <c r="B134" s="7"/>
      <c r="C134" s="2"/>
      <c r="D134" s="2"/>
      <c r="E134" s="2"/>
      <c r="F134" s="2"/>
      <c r="G134" s="19"/>
      <c r="H134" s="19"/>
      <c r="I134" s="19"/>
      <c r="J134" s="19"/>
      <c r="K134" s="19"/>
      <c r="L134" s="19"/>
      <c r="M134" s="19"/>
      <c r="N134" s="19"/>
      <c r="O134" s="19"/>
      <c r="P134" s="19"/>
      <c r="Q134" s="19"/>
      <c r="R134" s="19"/>
      <c r="S134" s="19"/>
      <c r="T134" s="19"/>
      <c r="U134" s="19"/>
      <c r="V134" s="19"/>
      <c r="W134" s="19"/>
      <c r="X134" s="19"/>
    </row>
    <row r="135" spans="1:24" ht="9.75">
      <c r="A135" s="1"/>
      <c r="B135" s="2"/>
      <c r="C135" s="3"/>
      <c r="D135" s="3"/>
      <c r="E135" s="3"/>
      <c r="F135" s="2"/>
      <c r="G135" s="19"/>
      <c r="H135" s="19"/>
      <c r="I135" s="19"/>
      <c r="J135" s="19"/>
      <c r="K135" s="19"/>
      <c r="L135" s="19"/>
      <c r="M135" s="19"/>
      <c r="N135" s="19"/>
      <c r="O135" s="19"/>
      <c r="P135" s="19"/>
      <c r="Q135" s="19"/>
      <c r="R135" s="19"/>
      <c r="S135" s="19"/>
      <c r="T135" s="19"/>
      <c r="U135" s="19"/>
      <c r="V135" s="19"/>
      <c r="W135" s="19"/>
      <c r="X135" s="19"/>
    </row>
    <row r="136" spans="1:24" ht="9.75">
      <c r="A136" s="4"/>
      <c r="B136" s="2"/>
      <c r="C136" s="2"/>
      <c r="D136" s="2"/>
      <c r="E136" s="2"/>
      <c r="F136" s="2"/>
      <c r="G136" s="19"/>
      <c r="H136" s="19"/>
      <c r="I136" s="19"/>
      <c r="J136" s="19"/>
      <c r="K136" s="19"/>
      <c r="L136" s="19"/>
      <c r="M136" s="19"/>
      <c r="N136" s="19"/>
      <c r="O136" s="19"/>
      <c r="P136" s="19"/>
      <c r="Q136" s="19"/>
      <c r="R136" s="19"/>
      <c r="S136" s="19"/>
      <c r="T136" s="19"/>
      <c r="U136" s="19"/>
      <c r="V136" s="19"/>
      <c r="W136" s="19"/>
      <c r="X136" s="19"/>
    </row>
    <row r="137" spans="1:24" ht="9.75">
      <c r="A137" s="1"/>
      <c r="B137" s="2"/>
      <c r="C137" s="2"/>
      <c r="D137" s="2"/>
      <c r="E137" s="2"/>
      <c r="F137" s="2"/>
      <c r="G137" s="19"/>
      <c r="H137" s="19"/>
      <c r="I137" s="19"/>
      <c r="J137" s="19"/>
      <c r="K137" s="19"/>
      <c r="L137" s="19"/>
      <c r="M137" s="19"/>
      <c r="N137" s="19"/>
      <c r="O137" s="19"/>
      <c r="P137" s="19"/>
      <c r="Q137" s="19"/>
      <c r="R137" s="19"/>
      <c r="S137" s="19"/>
      <c r="T137" s="19"/>
      <c r="U137" s="19"/>
      <c r="V137" s="19"/>
      <c r="W137" s="19"/>
      <c r="X137" s="19"/>
    </row>
    <row r="138" spans="1:24" ht="12">
      <c r="A138" s="1"/>
      <c r="B138" s="139"/>
      <c r="C138" s="32"/>
      <c r="D138" s="32"/>
      <c r="E138" s="32"/>
      <c r="F138" s="32"/>
      <c r="G138" s="19"/>
      <c r="H138" s="19"/>
      <c r="I138" s="19"/>
      <c r="J138" s="19"/>
      <c r="K138" s="19"/>
      <c r="L138" s="19"/>
      <c r="M138" s="19"/>
      <c r="N138" s="19"/>
      <c r="O138" s="19"/>
      <c r="P138" s="19"/>
      <c r="Q138" s="19"/>
      <c r="R138" s="19"/>
      <c r="S138" s="19"/>
      <c r="T138" s="19"/>
      <c r="U138" s="19"/>
      <c r="V138" s="19"/>
      <c r="W138" s="19"/>
      <c r="X138" s="19"/>
    </row>
    <row r="139" spans="1:24" ht="12">
      <c r="A139" s="1"/>
      <c r="B139" s="139"/>
      <c r="C139" s="32"/>
      <c r="D139" s="32"/>
      <c r="E139" s="32"/>
      <c r="F139" s="32"/>
      <c r="G139" s="19"/>
      <c r="H139" s="19"/>
      <c r="I139" s="19"/>
      <c r="J139" s="19"/>
      <c r="K139" s="19"/>
      <c r="L139" s="19"/>
      <c r="M139" s="19"/>
      <c r="N139" s="19"/>
      <c r="O139" s="19"/>
      <c r="P139" s="19"/>
      <c r="Q139" s="19"/>
      <c r="R139" s="19"/>
      <c r="S139" s="19"/>
      <c r="T139" s="19"/>
      <c r="U139" s="19"/>
      <c r="V139" s="19"/>
      <c r="W139" s="19"/>
      <c r="X139" s="19"/>
    </row>
    <row r="140" spans="1:24" ht="12">
      <c r="A140" s="1"/>
      <c r="B140" s="139"/>
      <c r="C140" s="32"/>
      <c r="D140" s="32"/>
      <c r="E140" s="32"/>
      <c r="F140" s="32"/>
      <c r="G140" s="19"/>
      <c r="H140" s="19"/>
      <c r="I140" s="19"/>
      <c r="J140" s="19"/>
      <c r="K140" s="19"/>
      <c r="L140" s="19"/>
      <c r="M140" s="19"/>
      <c r="N140" s="19"/>
      <c r="O140" s="19"/>
      <c r="P140" s="19"/>
      <c r="Q140" s="19"/>
      <c r="R140" s="19"/>
      <c r="S140" s="19"/>
      <c r="T140" s="19"/>
      <c r="U140" s="19"/>
      <c r="V140" s="19"/>
      <c r="W140" s="19"/>
      <c r="X140" s="19"/>
    </row>
    <row r="141" spans="1:24" ht="12">
      <c r="A141" s="4"/>
      <c r="B141" s="139"/>
      <c r="C141" s="32"/>
      <c r="D141" s="32"/>
      <c r="E141" s="32"/>
      <c r="F141" s="32"/>
      <c r="G141" s="19"/>
      <c r="H141" s="19"/>
      <c r="I141" s="19"/>
      <c r="J141" s="19"/>
      <c r="K141" s="19"/>
      <c r="L141" s="19"/>
      <c r="M141" s="19"/>
      <c r="N141" s="19"/>
      <c r="O141" s="19"/>
      <c r="P141" s="19"/>
      <c r="Q141" s="19"/>
      <c r="R141" s="19"/>
      <c r="S141" s="19"/>
      <c r="T141" s="19"/>
      <c r="U141" s="19"/>
      <c r="V141" s="19"/>
      <c r="W141" s="19"/>
      <c r="X141" s="19"/>
    </row>
    <row r="142" spans="1:24" ht="12">
      <c r="A142" s="1"/>
      <c r="B142" s="139"/>
      <c r="C142" s="32"/>
      <c r="D142" s="32"/>
      <c r="E142" s="32"/>
      <c r="F142" s="32"/>
      <c r="G142" s="19"/>
      <c r="H142" s="19"/>
      <c r="I142" s="19"/>
      <c r="J142" s="19"/>
      <c r="K142" s="19"/>
      <c r="L142" s="19"/>
      <c r="M142" s="19"/>
      <c r="N142" s="19"/>
      <c r="O142" s="19"/>
      <c r="P142" s="19"/>
      <c r="Q142" s="19"/>
      <c r="R142" s="19"/>
      <c r="S142" s="19"/>
      <c r="T142" s="19"/>
      <c r="U142" s="19"/>
      <c r="V142" s="19"/>
      <c r="W142" s="19"/>
      <c r="X142" s="19"/>
    </row>
    <row r="143" spans="1:24" ht="12">
      <c r="A143" s="1"/>
      <c r="B143" s="139"/>
      <c r="C143" s="32"/>
      <c r="D143" s="32"/>
      <c r="E143" s="32"/>
      <c r="F143" s="32"/>
      <c r="G143" s="19"/>
      <c r="H143" s="19"/>
      <c r="I143" s="19"/>
      <c r="J143" s="19"/>
      <c r="K143" s="19"/>
      <c r="L143" s="19"/>
      <c r="M143" s="19"/>
      <c r="N143" s="19"/>
      <c r="O143" s="19"/>
      <c r="P143" s="19"/>
      <c r="Q143" s="19"/>
      <c r="R143" s="19"/>
      <c r="S143" s="19"/>
      <c r="T143" s="19"/>
      <c r="U143" s="19"/>
      <c r="V143" s="19"/>
      <c r="W143" s="19"/>
      <c r="X143" s="19"/>
    </row>
    <row r="144" spans="1:24" ht="12">
      <c r="A144" s="1"/>
      <c r="B144" s="126"/>
      <c r="C144" s="32"/>
      <c r="D144" s="32"/>
      <c r="E144" s="32"/>
      <c r="F144" s="32"/>
      <c r="G144" s="19"/>
      <c r="H144" s="19"/>
      <c r="I144" s="19"/>
      <c r="J144" s="19"/>
      <c r="K144" s="19"/>
      <c r="L144" s="19"/>
      <c r="M144" s="19"/>
      <c r="N144" s="19"/>
      <c r="O144" s="19"/>
      <c r="P144" s="19"/>
      <c r="Q144" s="19"/>
      <c r="R144" s="19"/>
      <c r="S144" s="19"/>
      <c r="T144" s="19"/>
      <c r="U144" s="19"/>
      <c r="V144" s="19"/>
      <c r="W144" s="19"/>
      <c r="X144" s="19"/>
    </row>
    <row r="145" spans="1:24" ht="9.75">
      <c r="A145" s="1"/>
      <c r="B145" s="121"/>
      <c r="C145" s="3"/>
      <c r="D145" s="3"/>
      <c r="E145" s="3"/>
      <c r="F145" s="2"/>
      <c r="G145" s="19"/>
      <c r="H145" s="19"/>
      <c r="I145" s="19"/>
      <c r="J145" s="19"/>
      <c r="K145" s="19"/>
      <c r="L145" s="19"/>
      <c r="M145" s="19"/>
      <c r="N145" s="19"/>
      <c r="O145" s="19"/>
      <c r="P145" s="19"/>
      <c r="Q145" s="19"/>
      <c r="R145" s="19"/>
      <c r="S145" s="19"/>
      <c r="T145" s="19"/>
      <c r="U145" s="19"/>
      <c r="V145" s="19"/>
      <c r="W145" s="19"/>
      <c r="X145" s="19"/>
    </row>
    <row r="146" spans="1:24" ht="9.75">
      <c r="A146" s="1"/>
      <c r="C146" s="3"/>
      <c r="D146" s="3"/>
      <c r="E146" s="3"/>
      <c r="F146" s="2"/>
      <c r="G146" s="19"/>
      <c r="H146" s="19"/>
      <c r="I146" s="19"/>
      <c r="J146" s="19"/>
      <c r="K146" s="19"/>
      <c r="L146" s="19"/>
      <c r="M146" s="19"/>
      <c r="N146" s="19"/>
      <c r="O146" s="19"/>
      <c r="P146" s="19"/>
      <c r="Q146" s="19"/>
      <c r="R146" s="19"/>
      <c r="S146" s="19"/>
      <c r="T146" s="19"/>
      <c r="U146" s="19"/>
      <c r="V146" s="19"/>
      <c r="W146" s="19"/>
      <c r="X146" s="19"/>
    </row>
    <row r="147" spans="1:24" ht="9.75">
      <c r="A147" s="4"/>
      <c r="C147" s="3"/>
      <c r="D147" s="3"/>
      <c r="E147" s="3"/>
      <c r="F147" s="2"/>
      <c r="G147" s="19"/>
      <c r="H147" s="19"/>
      <c r="I147" s="19"/>
      <c r="J147" s="19"/>
      <c r="K147" s="19"/>
      <c r="L147" s="19"/>
      <c r="M147" s="19"/>
      <c r="N147" s="19"/>
      <c r="O147" s="19"/>
      <c r="P147" s="19"/>
      <c r="Q147" s="19"/>
      <c r="R147" s="19"/>
      <c r="S147" s="19"/>
      <c r="T147" s="19"/>
      <c r="U147" s="19"/>
      <c r="V147" s="19"/>
      <c r="W147" s="19"/>
      <c r="X147" s="19"/>
    </row>
    <row r="148" spans="1:24" ht="9.75">
      <c r="A148" s="4"/>
      <c r="C148" s="3"/>
      <c r="D148" s="3"/>
      <c r="E148" s="3"/>
      <c r="F148" s="2"/>
      <c r="G148" s="19"/>
      <c r="H148" s="19"/>
      <c r="I148" s="19"/>
      <c r="J148" s="19"/>
      <c r="K148" s="19"/>
      <c r="L148" s="19"/>
      <c r="M148" s="19"/>
      <c r="N148" s="19"/>
      <c r="O148" s="19"/>
      <c r="P148" s="19"/>
      <c r="Q148" s="19"/>
      <c r="R148" s="19"/>
      <c r="S148" s="19"/>
      <c r="T148" s="19"/>
      <c r="U148" s="19"/>
      <c r="V148" s="19"/>
      <c r="W148" s="19"/>
      <c r="X148" s="19"/>
    </row>
    <row r="149" spans="1:24" ht="9.75">
      <c r="A149" s="1"/>
      <c r="B149" s="13"/>
      <c r="C149" s="8"/>
      <c r="D149" s="8"/>
      <c r="E149" s="8"/>
      <c r="F149" s="2"/>
      <c r="G149" s="19"/>
      <c r="H149" s="19"/>
      <c r="I149" s="19"/>
      <c r="J149" s="19"/>
      <c r="K149" s="19"/>
      <c r="L149" s="19"/>
      <c r="M149" s="19"/>
      <c r="N149" s="19"/>
      <c r="O149" s="19"/>
      <c r="P149" s="19"/>
      <c r="Q149" s="19"/>
      <c r="R149" s="19"/>
      <c r="S149" s="19"/>
      <c r="T149" s="19"/>
      <c r="U149" s="19"/>
      <c r="V149" s="19"/>
      <c r="W149" s="19"/>
      <c r="X149" s="19"/>
    </row>
    <row r="150" spans="1:24" ht="9.75">
      <c r="A150" s="1"/>
      <c r="B150" s="13"/>
      <c r="C150" s="3"/>
      <c r="D150" s="3"/>
      <c r="E150" s="3"/>
      <c r="F150" s="2"/>
      <c r="G150" s="19"/>
      <c r="H150" s="19"/>
      <c r="I150" s="19"/>
      <c r="J150" s="19"/>
      <c r="K150" s="19"/>
      <c r="L150" s="19"/>
      <c r="M150" s="19"/>
      <c r="N150" s="19"/>
      <c r="O150" s="19"/>
      <c r="P150" s="19"/>
      <c r="Q150" s="19"/>
      <c r="R150" s="19"/>
      <c r="S150" s="19"/>
      <c r="T150" s="19"/>
      <c r="U150" s="19"/>
      <c r="V150" s="19"/>
      <c r="W150" s="19"/>
      <c r="X150" s="19"/>
    </row>
    <row r="151" spans="1:24" ht="9.75">
      <c r="A151" s="4"/>
      <c r="C151" s="3"/>
      <c r="D151" s="3"/>
      <c r="E151" s="3"/>
      <c r="F151" s="2"/>
      <c r="G151" s="19"/>
      <c r="H151" s="19"/>
      <c r="I151" s="19"/>
      <c r="J151" s="19"/>
      <c r="K151" s="19"/>
      <c r="L151" s="19"/>
      <c r="M151" s="19"/>
      <c r="N151" s="19"/>
      <c r="O151" s="19"/>
      <c r="P151" s="19"/>
      <c r="Q151" s="19"/>
      <c r="R151" s="19"/>
      <c r="S151" s="19"/>
      <c r="T151" s="19"/>
      <c r="U151" s="19"/>
      <c r="V151" s="19"/>
      <c r="W151" s="19"/>
      <c r="X151" s="19"/>
    </row>
    <row r="152" spans="1:24" ht="9.75">
      <c r="A152" s="1"/>
      <c r="C152" s="3"/>
      <c r="D152" s="3"/>
      <c r="E152" s="3"/>
      <c r="G152" s="19"/>
      <c r="H152" s="19"/>
      <c r="I152" s="19"/>
      <c r="J152" s="19"/>
      <c r="K152" s="19"/>
      <c r="L152" s="19"/>
      <c r="M152" s="19"/>
      <c r="N152" s="19"/>
      <c r="O152" s="19"/>
      <c r="P152" s="19"/>
      <c r="Q152" s="19"/>
      <c r="R152" s="19"/>
      <c r="S152" s="19"/>
      <c r="T152" s="19"/>
      <c r="U152" s="19"/>
      <c r="V152" s="19"/>
      <c r="W152" s="19"/>
      <c r="X152" s="19"/>
    </row>
    <row r="153" spans="1:24" ht="9.75">
      <c r="A153" s="1"/>
      <c r="C153" s="3"/>
      <c r="D153" s="3"/>
      <c r="E153" s="3"/>
      <c r="F153" s="15"/>
      <c r="G153" s="19"/>
      <c r="H153" s="19"/>
      <c r="I153" s="19"/>
      <c r="J153" s="19"/>
      <c r="K153" s="19"/>
      <c r="L153" s="19"/>
      <c r="M153" s="19"/>
      <c r="N153" s="19"/>
      <c r="O153" s="19"/>
      <c r="P153" s="19"/>
      <c r="Q153" s="19"/>
      <c r="R153" s="19"/>
      <c r="S153" s="19"/>
      <c r="T153" s="19"/>
      <c r="U153" s="19"/>
      <c r="V153" s="19"/>
      <c r="W153" s="19"/>
      <c r="X153" s="19"/>
    </row>
    <row r="154" spans="1:24" ht="9.75">
      <c r="A154" s="4"/>
      <c r="C154" s="3"/>
      <c r="D154" s="3"/>
      <c r="E154" s="3"/>
      <c r="F154" s="7"/>
      <c r="G154" s="19"/>
      <c r="H154" s="19"/>
      <c r="I154" s="19"/>
      <c r="J154" s="19"/>
      <c r="K154" s="19"/>
      <c r="L154" s="19"/>
      <c r="M154" s="19"/>
      <c r="N154" s="19"/>
      <c r="O154" s="19"/>
      <c r="P154" s="19"/>
      <c r="Q154" s="19"/>
      <c r="R154" s="19"/>
      <c r="S154" s="19"/>
      <c r="T154" s="19"/>
      <c r="U154" s="19"/>
      <c r="V154" s="19"/>
      <c r="W154" s="19"/>
      <c r="X154" s="19"/>
    </row>
    <row r="155" spans="1:24" ht="9.75">
      <c r="A155" s="1"/>
      <c r="C155" s="3"/>
      <c r="D155" s="3"/>
      <c r="E155" s="3"/>
      <c r="F155" s="7"/>
      <c r="G155" s="19"/>
      <c r="H155" s="19"/>
      <c r="I155" s="19"/>
      <c r="J155" s="19"/>
      <c r="K155" s="19"/>
      <c r="L155" s="19"/>
      <c r="M155" s="19"/>
      <c r="N155" s="19"/>
      <c r="O155" s="19"/>
      <c r="P155" s="19"/>
      <c r="Q155" s="19"/>
      <c r="R155" s="19"/>
      <c r="S155" s="19"/>
      <c r="T155" s="19"/>
      <c r="U155" s="19"/>
      <c r="V155" s="19"/>
      <c r="W155" s="19"/>
      <c r="X155" s="19"/>
    </row>
    <row r="156" spans="1:24" ht="9.75">
      <c r="A156" s="4"/>
      <c r="B156" s="2"/>
      <c r="C156" s="2"/>
      <c r="D156" s="2"/>
      <c r="E156" s="2"/>
      <c r="F156" s="15"/>
      <c r="G156" s="19"/>
      <c r="H156" s="19"/>
      <c r="I156" s="19"/>
      <c r="J156" s="19"/>
      <c r="K156" s="19"/>
      <c r="L156" s="19"/>
      <c r="M156" s="19"/>
      <c r="N156" s="19"/>
      <c r="O156" s="19"/>
      <c r="P156" s="19"/>
      <c r="Q156" s="19"/>
      <c r="R156" s="19"/>
      <c r="S156" s="19"/>
      <c r="T156" s="19"/>
      <c r="U156" s="19"/>
      <c r="V156" s="19"/>
      <c r="W156" s="19"/>
      <c r="X156" s="19"/>
    </row>
    <row r="157" spans="1:24" ht="9.75">
      <c r="A157" s="1"/>
      <c r="B157" s="2"/>
      <c r="C157" s="2"/>
      <c r="D157" s="2"/>
      <c r="E157" s="2"/>
      <c r="F157" s="2"/>
      <c r="G157" s="19"/>
      <c r="H157" s="19"/>
      <c r="I157" s="19"/>
      <c r="J157" s="19"/>
      <c r="K157" s="19"/>
      <c r="L157" s="19"/>
      <c r="M157" s="19"/>
      <c r="N157" s="19"/>
      <c r="O157" s="19"/>
      <c r="P157" s="19"/>
      <c r="Q157" s="19"/>
      <c r="R157" s="19"/>
      <c r="S157" s="19"/>
      <c r="T157" s="19"/>
      <c r="U157" s="19"/>
      <c r="V157" s="19"/>
      <c r="W157" s="19"/>
      <c r="X157" s="19"/>
    </row>
    <row r="158" spans="1:24" ht="9.75">
      <c r="A158" s="1"/>
      <c r="B158" s="2"/>
      <c r="C158" s="2"/>
      <c r="D158" s="2"/>
      <c r="E158" s="2"/>
      <c r="F158" s="2"/>
      <c r="G158" s="19"/>
      <c r="H158" s="19"/>
      <c r="I158" s="19"/>
      <c r="J158" s="19"/>
      <c r="K158" s="19"/>
      <c r="L158" s="19"/>
      <c r="M158" s="19"/>
      <c r="N158" s="19"/>
      <c r="O158" s="19"/>
      <c r="P158" s="19"/>
      <c r="Q158" s="19"/>
      <c r="R158" s="19"/>
      <c r="S158" s="19"/>
      <c r="T158" s="19"/>
      <c r="U158" s="19"/>
      <c r="V158" s="19"/>
      <c r="W158" s="19"/>
      <c r="X158" s="19"/>
    </row>
    <row r="159" spans="1:24" ht="9.75">
      <c r="A159" s="1"/>
      <c r="B159" s="7"/>
      <c r="C159" s="7"/>
      <c r="D159" s="7"/>
      <c r="E159" s="7"/>
      <c r="F159" s="2"/>
      <c r="G159" s="19"/>
      <c r="H159" s="19"/>
      <c r="I159" s="19"/>
      <c r="J159" s="19"/>
      <c r="K159" s="19"/>
      <c r="L159" s="19"/>
      <c r="M159" s="19"/>
      <c r="N159" s="19"/>
      <c r="O159" s="19"/>
      <c r="P159" s="19"/>
      <c r="Q159" s="19"/>
      <c r="R159" s="19"/>
      <c r="S159" s="19"/>
      <c r="T159" s="19"/>
      <c r="U159" s="19"/>
      <c r="V159" s="19"/>
      <c r="W159" s="19"/>
      <c r="X159" s="19"/>
    </row>
    <row r="160" spans="1:24" ht="9.75">
      <c r="A160" s="1"/>
      <c r="B160" s="2"/>
      <c r="C160" s="3"/>
      <c r="D160" s="3"/>
      <c r="E160" s="3"/>
      <c r="F160" s="2"/>
      <c r="G160" s="19"/>
      <c r="H160" s="19"/>
      <c r="I160" s="19"/>
      <c r="J160" s="19"/>
      <c r="K160" s="19"/>
      <c r="L160" s="19"/>
      <c r="M160" s="19"/>
      <c r="N160" s="19"/>
      <c r="O160" s="19"/>
      <c r="P160" s="19"/>
      <c r="Q160" s="19"/>
      <c r="R160" s="19"/>
      <c r="S160" s="19"/>
      <c r="T160" s="19"/>
      <c r="U160" s="19"/>
      <c r="V160" s="19"/>
      <c r="W160" s="19"/>
      <c r="X160" s="19"/>
    </row>
    <row r="161" spans="1:24" ht="9.75">
      <c r="A161" s="4"/>
      <c r="B161" s="2"/>
      <c r="C161" s="2"/>
      <c r="D161" s="2"/>
      <c r="E161" s="2"/>
      <c r="F161" s="10"/>
      <c r="G161" s="19"/>
      <c r="H161" s="19"/>
      <c r="I161" s="19"/>
      <c r="J161" s="19"/>
      <c r="K161" s="19"/>
      <c r="L161" s="19"/>
      <c r="M161" s="19"/>
      <c r="N161" s="19"/>
      <c r="O161" s="19"/>
      <c r="P161" s="19"/>
      <c r="Q161" s="19"/>
      <c r="R161" s="19"/>
      <c r="S161" s="19"/>
      <c r="T161" s="19"/>
      <c r="U161" s="19"/>
      <c r="V161" s="19"/>
      <c r="W161" s="19"/>
      <c r="X161" s="19"/>
    </row>
    <row r="162" spans="1:24" ht="9.75">
      <c r="A162" s="4"/>
      <c r="F162" s="2"/>
      <c r="G162" s="19"/>
      <c r="H162" s="19"/>
      <c r="I162" s="19"/>
      <c r="J162" s="19"/>
      <c r="K162" s="19"/>
      <c r="L162" s="19"/>
      <c r="M162" s="19"/>
      <c r="N162" s="19"/>
      <c r="O162" s="19"/>
      <c r="P162" s="19"/>
      <c r="Q162" s="19"/>
      <c r="R162" s="19"/>
      <c r="S162" s="19"/>
      <c r="T162" s="19"/>
      <c r="U162" s="19"/>
      <c r="V162" s="19"/>
      <c r="W162" s="19"/>
      <c r="X162" s="19"/>
    </row>
    <row r="163" spans="1:24" ht="9.75">
      <c r="A163" s="1"/>
      <c r="C163" s="3"/>
      <c r="D163" s="3"/>
      <c r="E163" s="3"/>
      <c r="F163" s="2"/>
      <c r="G163" s="19"/>
      <c r="H163" s="19"/>
      <c r="I163" s="19"/>
      <c r="J163" s="19"/>
      <c r="K163" s="19"/>
      <c r="L163" s="19"/>
      <c r="M163" s="19"/>
      <c r="N163" s="19"/>
      <c r="O163" s="19"/>
      <c r="P163" s="19"/>
      <c r="Q163" s="19"/>
      <c r="R163" s="19"/>
      <c r="S163" s="19"/>
      <c r="T163" s="19"/>
      <c r="U163" s="19"/>
      <c r="V163" s="19"/>
      <c r="W163" s="19"/>
      <c r="X163" s="19"/>
    </row>
    <row r="164" spans="1:24" ht="9.75">
      <c r="A164" s="4"/>
      <c r="F164" s="2"/>
      <c r="G164" s="19"/>
      <c r="H164" s="19"/>
      <c r="I164" s="19"/>
      <c r="J164" s="19"/>
      <c r="K164" s="19"/>
      <c r="L164" s="19"/>
      <c r="M164" s="19"/>
      <c r="N164" s="19"/>
      <c r="O164" s="19"/>
      <c r="P164" s="19"/>
      <c r="Q164" s="19"/>
      <c r="R164" s="19"/>
      <c r="S164" s="19"/>
      <c r="T164" s="19"/>
      <c r="U164" s="19"/>
      <c r="V164" s="19"/>
      <c r="W164" s="19"/>
      <c r="X164" s="19"/>
    </row>
    <row r="165" spans="1:24" ht="9.75">
      <c r="A165" s="4"/>
      <c r="F165" s="10"/>
      <c r="G165" s="19"/>
      <c r="H165" s="19"/>
      <c r="I165" s="19"/>
      <c r="J165" s="19"/>
      <c r="K165" s="19"/>
      <c r="L165" s="19"/>
      <c r="M165" s="19"/>
      <c r="N165" s="19"/>
      <c r="O165" s="19"/>
      <c r="P165" s="19"/>
      <c r="Q165" s="19"/>
      <c r="R165" s="19"/>
      <c r="S165" s="19"/>
      <c r="T165" s="19"/>
      <c r="U165" s="19"/>
      <c r="V165" s="19"/>
      <c r="W165" s="19"/>
      <c r="X165" s="19"/>
    </row>
    <row r="166" spans="1:24" ht="9.75">
      <c r="A166" s="4"/>
      <c r="F166" s="2"/>
      <c r="G166" s="19"/>
      <c r="H166" s="19"/>
      <c r="I166" s="19"/>
      <c r="J166" s="19"/>
      <c r="K166" s="19"/>
      <c r="L166" s="19"/>
      <c r="M166" s="19"/>
      <c r="N166" s="19"/>
      <c r="O166" s="19"/>
      <c r="P166" s="19"/>
      <c r="Q166" s="19"/>
      <c r="R166" s="19"/>
      <c r="S166" s="19"/>
      <c r="T166" s="19"/>
      <c r="U166" s="19"/>
      <c r="V166" s="19"/>
      <c r="W166" s="19"/>
      <c r="X166" s="19"/>
    </row>
    <row r="167" spans="1:24" ht="9.75">
      <c r="A167" s="4"/>
      <c r="F167" s="2"/>
      <c r="G167" s="19"/>
      <c r="H167" s="19"/>
      <c r="I167" s="19"/>
      <c r="J167" s="19"/>
      <c r="K167" s="19"/>
      <c r="L167" s="19"/>
      <c r="M167" s="19"/>
      <c r="N167" s="19"/>
      <c r="O167" s="19"/>
      <c r="P167" s="19"/>
      <c r="Q167" s="19"/>
      <c r="R167" s="19"/>
      <c r="S167" s="19"/>
      <c r="T167" s="19"/>
      <c r="U167" s="19"/>
      <c r="V167" s="19"/>
      <c r="W167" s="19"/>
      <c r="X167" s="19"/>
    </row>
    <row r="168" spans="1:24" ht="9.75">
      <c r="A168" s="1"/>
      <c r="B168" s="5"/>
      <c r="C168" s="3"/>
      <c r="D168" s="3"/>
      <c r="E168" s="3"/>
      <c r="F168" s="2"/>
      <c r="G168" s="19"/>
      <c r="H168" s="19"/>
      <c r="I168" s="19"/>
      <c r="J168" s="19"/>
      <c r="K168" s="19"/>
      <c r="L168" s="19"/>
      <c r="M168" s="19"/>
      <c r="N168" s="19"/>
      <c r="O168" s="19"/>
      <c r="P168" s="19"/>
      <c r="Q168" s="19"/>
      <c r="R168" s="19"/>
      <c r="S168" s="19"/>
      <c r="T168" s="19"/>
      <c r="U168" s="19"/>
      <c r="V168" s="19"/>
      <c r="W168" s="19"/>
      <c r="X168" s="19"/>
    </row>
    <row r="169" spans="1:24" ht="9.75">
      <c r="A169" s="4"/>
      <c r="B169" s="2"/>
      <c r="C169" s="2"/>
      <c r="D169" s="2"/>
      <c r="E169" s="2"/>
      <c r="F169" s="2"/>
      <c r="G169" s="19"/>
      <c r="H169" s="19"/>
      <c r="I169" s="19"/>
      <c r="J169" s="19"/>
      <c r="K169" s="19"/>
      <c r="L169" s="19"/>
      <c r="M169" s="19"/>
      <c r="N169" s="19"/>
      <c r="O169" s="19"/>
      <c r="P169" s="19"/>
      <c r="Q169" s="19"/>
      <c r="R169" s="19"/>
      <c r="S169" s="19"/>
      <c r="T169" s="19"/>
      <c r="U169" s="19"/>
      <c r="V169" s="19"/>
      <c r="W169" s="19"/>
      <c r="X169" s="19"/>
    </row>
    <row r="170" spans="1:24" ht="9.75">
      <c r="A170" s="1"/>
      <c r="B170" s="2"/>
      <c r="C170" s="2"/>
      <c r="D170" s="2"/>
      <c r="E170" s="2"/>
      <c r="F170" s="12"/>
      <c r="G170" s="19"/>
      <c r="H170" s="19"/>
      <c r="I170" s="19"/>
      <c r="J170" s="19"/>
      <c r="K170" s="19"/>
      <c r="L170" s="19"/>
      <c r="M170" s="19"/>
      <c r="N170" s="19"/>
      <c r="O170" s="19"/>
      <c r="P170" s="19"/>
      <c r="Q170" s="19"/>
      <c r="R170" s="19"/>
      <c r="S170" s="19"/>
      <c r="T170" s="19"/>
      <c r="U170" s="19"/>
      <c r="V170" s="19"/>
      <c r="W170" s="19"/>
      <c r="X170" s="19"/>
    </row>
    <row r="171" spans="1:24" ht="9.75">
      <c r="A171" s="1"/>
      <c r="B171" s="2"/>
      <c r="C171" s="2"/>
      <c r="D171" s="2"/>
      <c r="E171" s="2"/>
      <c r="F171" s="2"/>
      <c r="G171" s="19"/>
      <c r="H171" s="19"/>
      <c r="I171" s="19"/>
      <c r="J171" s="19"/>
      <c r="K171" s="19"/>
      <c r="L171" s="19"/>
      <c r="M171" s="19"/>
      <c r="N171" s="19"/>
      <c r="O171" s="19"/>
      <c r="P171" s="19"/>
      <c r="Q171" s="19"/>
      <c r="R171" s="19"/>
      <c r="S171" s="19"/>
      <c r="T171" s="19"/>
      <c r="U171" s="19"/>
      <c r="V171" s="19"/>
      <c r="W171" s="19"/>
      <c r="X171" s="19"/>
    </row>
    <row r="172" spans="1:24" ht="9.75">
      <c r="A172" s="1"/>
      <c r="B172" s="5"/>
      <c r="C172" s="5"/>
      <c r="D172" s="5"/>
      <c r="E172" s="5"/>
      <c r="F172" s="2"/>
      <c r="G172" s="19"/>
      <c r="H172" s="19"/>
      <c r="I172" s="19"/>
      <c r="J172" s="19"/>
      <c r="K172" s="19"/>
      <c r="L172" s="19"/>
      <c r="M172" s="19"/>
      <c r="N172" s="19"/>
      <c r="O172" s="19"/>
      <c r="P172" s="19"/>
      <c r="Q172" s="19"/>
      <c r="R172" s="19"/>
      <c r="S172" s="19"/>
      <c r="T172" s="19"/>
      <c r="U172" s="19"/>
      <c r="V172" s="19"/>
      <c r="W172" s="19"/>
      <c r="X172" s="19"/>
    </row>
    <row r="173" spans="1:24" ht="9.75">
      <c r="A173" s="1"/>
      <c r="B173" s="2"/>
      <c r="C173" s="3"/>
      <c r="D173" s="3"/>
      <c r="E173" s="3"/>
      <c r="F173" s="2"/>
      <c r="G173" s="19"/>
      <c r="H173" s="19"/>
      <c r="I173" s="19"/>
      <c r="J173" s="19"/>
      <c r="K173" s="19"/>
      <c r="L173" s="19"/>
      <c r="M173" s="19"/>
      <c r="N173" s="19"/>
      <c r="O173" s="19"/>
      <c r="P173" s="19"/>
      <c r="Q173" s="19"/>
      <c r="R173" s="19"/>
      <c r="S173" s="19"/>
      <c r="T173" s="19"/>
      <c r="U173" s="19"/>
      <c r="V173" s="19"/>
      <c r="W173" s="19"/>
      <c r="X173" s="19"/>
    </row>
    <row r="174" spans="6:24" ht="9.75">
      <c r="F174" s="2"/>
      <c r="G174" s="19"/>
      <c r="H174" s="19"/>
      <c r="I174" s="19"/>
      <c r="J174" s="19"/>
      <c r="K174" s="19"/>
      <c r="L174" s="19"/>
      <c r="M174" s="19"/>
      <c r="N174" s="19"/>
      <c r="O174" s="19"/>
      <c r="P174" s="19"/>
      <c r="Q174" s="19"/>
      <c r="R174" s="19"/>
      <c r="S174" s="19"/>
      <c r="T174" s="19"/>
      <c r="U174" s="19"/>
      <c r="V174" s="19"/>
      <c r="W174" s="19"/>
      <c r="X174" s="19"/>
    </row>
    <row r="175" spans="6:24" ht="9.75">
      <c r="F175" s="2"/>
      <c r="G175" s="19"/>
      <c r="H175" s="19"/>
      <c r="I175" s="19"/>
      <c r="J175" s="19"/>
      <c r="K175" s="19"/>
      <c r="L175" s="19"/>
      <c r="M175" s="19"/>
      <c r="N175" s="19"/>
      <c r="O175" s="19"/>
      <c r="P175" s="19"/>
      <c r="Q175" s="19"/>
      <c r="R175" s="19"/>
      <c r="S175" s="19"/>
      <c r="T175" s="19"/>
      <c r="U175" s="19"/>
      <c r="V175" s="19"/>
      <c r="W175" s="19"/>
      <c r="X175" s="19"/>
    </row>
    <row r="176" spans="6:24" ht="9.75">
      <c r="F176" s="2"/>
      <c r="G176" s="19"/>
      <c r="H176" s="19"/>
      <c r="I176" s="19"/>
      <c r="J176" s="19"/>
      <c r="K176" s="19"/>
      <c r="L176" s="19"/>
      <c r="M176" s="19"/>
      <c r="N176" s="19"/>
      <c r="O176" s="19"/>
      <c r="P176" s="19"/>
      <c r="Q176" s="19"/>
      <c r="R176" s="19"/>
      <c r="S176" s="19"/>
      <c r="T176" s="19"/>
      <c r="U176" s="19"/>
      <c r="V176" s="19"/>
      <c r="W176" s="19"/>
      <c r="X176" s="19"/>
    </row>
    <row r="177" spans="6:24" ht="9.75">
      <c r="F177" s="2"/>
      <c r="G177" s="19"/>
      <c r="H177" s="19"/>
      <c r="I177" s="19"/>
      <c r="J177" s="19"/>
      <c r="K177" s="19"/>
      <c r="L177" s="19"/>
      <c r="M177" s="19"/>
      <c r="N177" s="19"/>
      <c r="O177" s="19"/>
      <c r="P177" s="19"/>
      <c r="Q177" s="19"/>
      <c r="R177" s="19"/>
      <c r="S177" s="19"/>
      <c r="T177" s="19"/>
      <c r="U177" s="19"/>
      <c r="V177" s="19"/>
      <c r="W177" s="19"/>
      <c r="X177" s="19"/>
    </row>
    <row r="178" spans="1:24" ht="9.75">
      <c r="A178" s="1"/>
      <c r="B178" s="2"/>
      <c r="C178" s="2"/>
      <c r="D178" s="2"/>
      <c r="E178" s="2"/>
      <c r="F178" s="8"/>
      <c r="G178" s="19"/>
      <c r="H178" s="19"/>
      <c r="I178" s="19"/>
      <c r="J178" s="19"/>
      <c r="K178" s="19"/>
      <c r="L178" s="19"/>
      <c r="M178" s="19"/>
      <c r="N178" s="19"/>
      <c r="O178" s="19"/>
      <c r="P178" s="19"/>
      <c r="Q178" s="19"/>
      <c r="R178" s="19"/>
      <c r="S178" s="19"/>
      <c r="T178" s="19"/>
      <c r="U178" s="19"/>
      <c r="V178" s="19"/>
      <c r="W178" s="19"/>
      <c r="X178" s="19"/>
    </row>
    <row r="179" spans="1:24" ht="9.75">
      <c r="A179" s="1"/>
      <c r="B179" s="2"/>
      <c r="C179" s="2"/>
      <c r="D179" s="2"/>
      <c r="E179" s="2"/>
      <c r="F179" s="2"/>
      <c r="G179" s="19"/>
      <c r="H179" s="19"/>
      <c r="I179" s="19"/>
      <c r="J179" s="19"/>
      <c r="K179" s="19"/>
      <c r="L179" s="19"/>
      <c r="M179" s="19"/>
      <c r="N179" s="19"/>
      <c r="O179" s="19"/>
      <c r="P179" s="19"/>
      <c r="Q179" s="19"/>
      <c r="R179" s="19"/>
      <c r="S179" s="19"/>
      <c r="T179" s="19"/>
      <c r="U179" s="19"/>
      <c r="V179" s="19"/>
      <c r="W179" s="19"/>
      <c r="X179" s="19"/>
    </row>
    <row r="180" spans="1:24" ht="9.75">
      <c r="A180" s="1"/>
      <c r="B180" s="2"/>
      <c r="C180" s="3"/>
      <c r="D180" s="3"/>
      <c r="E180" s="3"/>
      <c r="F180" s="2"/>
      <c r="G180" s="19"/>
      <c r="H180" s="19"/>
      <c r="I180" s="19"/>
      <c r="J180" s="19"/>
      <c r="K180" s="19"/>
      <c r="L180" s="19"/>
      <c r="M180" s="19"/>
      <c r="N180" s="19"/>
      <c r="O180" s="19"/>
      <c r="P180" s="19"/>
      <c r="Q180" s="19"/>
      <c r="R180" s="19"/>
      <c r="S180" s="19"/>
      <c r="T180" s="19"/>
      <c r="U180" s="19"/>
      <c r="V180" s="19"/>
      <c r="W180" s="19"/>
      <c r="X180" s="19"/>
    </row>
    <row r="181" spans="1:24" ht="9.75">
      <c r="A181" s="1"/>
      <c r="B181" s="2"/>
      <c r="C181" s="3"/>
      <c r="D181" s="3"/>
      <c r="E181" s="3"/>
      <c r="F181" s="8"/>
      <c r="G181" s="19"/>
      <c r="H181" s="19"/>
      <c r="I181" s="19"/>
      <c r="J181" s="19"/>
      <c r="K181" s="19"/>
      <c r="L181" s="19"/>
      <c r="M181" s="19"/>
      <c r="N181" s="19"/>
      <c r="O181" s="19"/>
      <c r="P181" s="19"/>
      <c r="Q181" s="19"/>
      <c r="R181" s="19"/>
      <c r="S181" s="19"/>
      <c r="T181" s="19"/>
      <c r="U181" s="19"/>
      <c r="V181" s="19"/>
      <c r="W181" s="19"/>
      <c r="X181" s="19"/>
    </row>
    <row r="182" spans="1:24" ht="9.75">
      <c r="A182" s="1"/>
      <c r="F182" s="2"/>
      <c r="G182" s="19"/>
      <c r="H182" s="19"/>
      <c r="I182" s="19"/>
      <c r="J182" s="19"/>
      <c r="K182" s="19"/>
      <c r="L182" s="19"/>
      <c r="M182" s="19"/>
      <c r="N182" s="19"/>
      <c r="O182" s="19"/>
      <c r="P182" s="19"/>
      <c r="Q182" s="19"/>
      <c r="R182" s="19"/>
      <c r="S182" s="19"/>
      <c r="T182" s="19"/>
      <c r="U182" s="19"/>
      <c r="V182" s="19"/>
      <c r="W182" s="19"/>
      <c r="X182" s="19"/>
    </row>
    <row r="183" spans="1:24" ht="9.75">
      <c r="A183" s="4"/>
      <c r="F183" s="2"/>
      <c r="G183" s="19"/>
      <c r="H183" s="19"/>
      <c r="I183" s="19"/>
      <c r="J183" s="19"/>
      <c r="K183" s="19"/>
      <c r="L183" s="19"/>
      <c r="M183" s="19"/>
      <c r="N183" s="19"/>
      <c r="O183" s="19"/>
      <c r="P183" s="19"/>
      <c r="Q183" s="19"/>
      <c r="R183" s="19"/>
      <c r="S183" s="19"/>
      <c r="T183" s="19"/>
      <c r="U183" s="19"/>
      <c r="V183" s="19"/>
      <c r="W183" s="19"/>
      <c r="X183" s="19"/>
    </row>
    <row r="184" spans="1:24" ht="9.75">
      <c r="A184" s="1"/>
      <c r="B184" s="2"/>
      <c r="C184" s="2"/>
      <c r="D184" s="2"/>
      <c r="E184" s="2"/>
      <c r="F184" s="2"/>
      <c r="G184" s="19"/>
      <c r="H184" s="19"/>
      <c r="I184" s="19"/>
      <c r="J184" s="19"/>
      <c r="K184" s="19"/>
      <c r="L184" s="19"/>
      <c r="M184" s="19"/>
      <c r="N184" s="19"/>
      <c r="O184" s="19"/>
      <c r="P184" s="19"/>
      <c r="Q184" s="19"/>
      <c r="R184" s="19"/>
      <c r="S184" s="19"/>
      <c r="T184" s="19"/>
      <c r="U184" s="19"/>
      <c r="V184" s="19"/>
      <c r="W184" s="19"/>
      <c r="X184" s="19"/>
    </row>
    <row r="185" spans="1:24" ht="9.75">
      <c r="A185" s="1"/>
      <c r="C185" s="2"/>
      <c r="D185" s="2"/>
      <c r="E185" s="2"/>
      <c r="F185" s="2"/>
      <c r="G185" s="19"/>
      <c r="H185" s="19"/>
      <c r="I185" s="19"/>
      <c r="J185" s="19"/>
      <c r="K185" s="19"/>
      <c r="L185" s="19"/>
      <c r="M185" s="19"/>
      <c r="N185" s="19"/>
      <c r="O185" s="19"/>
      <c r="P185" s="19"/>
      <c r="Q185" s="19"/>
      <c r="R185" s="19"/>
      <c r="S185" s="19"/>
      <c r="T185" s="19"/>
      <c r="U185" s="19"/>
      <c r="V185" s="19"/>
      <c r="W185" s="19"/>
      <c r="X185" s="19"/>
    </row>
    <row r="186" spans="1:24" ht="9.75">
      <c r="A186" s="1"/>
      <c r="C186" s="2"/>
      <c r="D186" s="2"/>
      <c r="E186" s="2"/>
      <c r="F186" s="2"/>
      <c r="G186" s="19"/>
      <c r="H186" s="19"/>
      <c r="I186" s="19"/>
      <c r="J186" s="19"/>
      <c r="K186" s="19"/>
      <c r="L186" s="19"/>
      <c r="M186" s="19"/>
      <c r="N186" s="19"/>
      <c r="O186" s="19"/>
      <c r="P186" s="19"/>
      <c r="Q186" s="19"/>
      <c r="R186" s="19"/>
      <c r="S186" s="19"/>
      <c r="T186" s="19"/>
      <c r="U186" s="19"/>
      <c r="V186" s="19"/>
      <c r="W186" s="19"/>
      <c r="X186" s="19"/>
    </row>
    <row r="187" spans="1:24" ht="9.75">
      <c r="A187" s="1"/>
      <c r="C187" s="2"/>
      <c r="D187" s="2"/>
      <c r="E187" s="2"/>
      <c r="F187" s="7"/>
      <c r="G187" s="19"/>
      <c r="H187" s="19"/>
      <c r="I187" s="19"/>
      <c r="J187" s="19"/>
      <c r="K187" s="19"/>
      <c r="L187" s="19"/>
      <c r="M187" s="19"/>
      <c r="N187" s="19"/>
      <c r="O187" s="19"/>
      <c r="P187" s="19"/>
      <c r="Q187" s="19"/>
      <c r="R187" s="19"/>
      <c r="S187" s="19"/>
      <c r="T187" s="19"/>
      <c r="U187" s="19"/>
      <c r="V187" s="19"/>
      <c r="W187" s="19"/>
      <c r="X187" s="19"/>
    </row>
    <row r="188" spans="1:24" ht="9.75">
      <c r="A188" s="1"/>
      <c r="C188" s="2"/>
      <c r="D188" s="2"/>
      <c r="E188" s="2"/>
      <c r="F188" s="7"/>
      <c r="G188" s="19"/>
      <c r="H188" s="19"/>
      <c r="I188" s="19"/>
      <c r="J188" s="19"/>
      <c r="K188" s="19"/>
      <c r="L188" s="19"/>
      <c r="M188" s="19"/>
      <c r="N188" s="19"/>
      <c r="O188" s="19"/>
      <c r="P188" s="19"/>
      <c r="Q188" s="19"/>
      <c r="R188" s="19"/>
      <c r="S188" s="19"/>
      <c r="T188" s="19"/>
      <c r="U188" s="19"/>
      <c r="V188" s="19"/>
      <c r="W188" s="19"/>
      <c r="X188" s="19"/>
    </row>
    <row r="189" spans="1:24" ht="9.75">
      <c r="A189" s="1"/>
      <c r="C189" s="2"/>
      <c r="D189" s="2"/>
      <c r="E189" s="2"/>
      <c r="F189" s="2"/>
      <c r="G189" s="19"/>
      <c r="H189" s="19"/>
      <c r="I189" s="19"/>
      <c r="J189" s="19"/>
      <c r="K189" s="19"/>
      <c r="L189" s="19"/>
      <c r="M189" s="19"/>
      <c r="N189" s="19"/>
      <c r="O189" s="19"/>
      <c r="P189" s="19"/>
      <c r="Q189" s="19"/>
      <c r="R189" s="19"/>
      <c r="S189" s="19"/>
      <c r="T189" s="19"/>
      <c r="U189" s="19"/>
      <c r="V189" s="19"/>
      <c r="W189" s="19"/>
      <c r="X189" s="19"/>
    </row>
    <row r="190" spans="1:24" ht="9.75">
      <c r="A190" s="1"/>
      <c r="C190" s="2"/>
      <c r="D190" s="2"/>
      <c r="E190" s="2"/>
      <c r="F190" s="2"/>
      <c r="G190" s="19"/>
      <c r="H190" s="19"/>
      <c r="I190" s="19"/>
      <c r="J190" s="19"/>
      <c r="K190" s="19"/>
      <c r="L190" s="19"/>
      <c r="M190" s="19"/>
      <c r="N190" s="19"/>
      <c r="O190" s="19"/>
      <c r="P190" s="19"/>
      <c r="Q190" s="19"/>
      <c r="R190" s="19"/>
      <c r="S190" s="19"/>
      <c r="T190" s="19"/>
      <c r="U190" s="19"/>
      <c r="V190" s="19"/>
      <c r="W190" s="19"/>
      <c r="X190" s="19"/>
    </row>
    <row r="191" spans="1:24" ht="9.75">
      <c r="A191" s="1"/>
      <c r="C191" s="2"/>
      <c r="D191" s="2"/>
      <c r="E191" s="2"/>
      <c r="F191" s="2"/>
      <c r="G191" s="19"/>
      <c r="H191" s="19"/>
      <c r="I191" s="19"/>
      <c r="J191" s="19"/>
      <c r="K191" s="19"/>
      <c r="L191" s="19"/>
      <c r="M191" s="19"/>
      <c r="N191" s="19"/>
      <c r="O191" s="19"/>
      <c r="P191" s="19"/>
      <c r="Q191" s="19"/>
      <c r="R191" s="19"/>
      <c r="S191" s="19"/>
      <c r="T191" s="19"/>
      <c r="U191" s="19"/>
      <c r="V191" s="19"/>
      <c r="W191" s="19"/>
      <c r="X191" s="19"/>
    </row>
    <row r="192" spans="1:24" ht="9.75">
      <c r="A192" s="1"/>
      <c r="C192" s="2"/>
      <c r="D192" s="2"/>
      <c r="E192" s="2"/>
      <c r="F192" s="2"/>
      <c r="G192" s="19"/>
      <c r="H192" s="19"/>
      <c r="I192" s="19"/>
      <c r="J192" s="19"/>
      <c r="K192" s="19"/>
      <c r="L192" s="19"/>
      <c r="M192" s="19"/>
      <c r="N192" s="19"/>
      <c r="O192" s="19"/>
      <c r="P192" s="19"/>
      <c r="Q192" s="19"/>
      <c r="R192" s="19"/>
      <c r="S192" s="19"/>
      <c r="T192" s="19"/>
      <c r="U192" s="19"/>
      <c r="V192" s="19"/>
      <c r="W192" s="19"/>
      <c r="X192" s="19"/>
    </row>
    <row r="193" spans="1:24" ht="9.75">
      <c r="A193" s="1"/>
      <c r="C193" s="2"/>
      <c r="D193" s="2"/>
      <c r="E193" s="2"/>
      <c r="F193" s="2"/>
      <c r="G193" s="19"/>
      <c r="H193" s="19"/>
      <c r="I193" s="19"/>
      <c r="J193" s="19"/>
      <c r="K193" s="19"/>
      <c r="L193" s="19"/>
      <c r="M193" s="19"/>
      <c r="N193" s="19"/>
      <c r="O193" s="19"/>
      <c r="P193" s="19"/>
      <c r="Q193" s="19"/>
      <c r="R193" s="19"/>
      <c r="S193" s="19"/>
      <c r="T193" s="19"/>
      <c r="U193" s="19"/>
      <c r="V193" s="19"/>
      <c r="W193" s="19"/>
      <c r="X193" s="19"/>
    </row>
    <row r="194" spans="1:24" ht="9.75">
      <c r="A194" s="1"/>
      <c r="B194" s="9"/>
      <c r="C194" s="2"/>
      <c r="D194" s="2"/>
      <c r="E194" s="2"/>
      <c r="F194" s="2"/>
      <c r="G194" s="19"/>
      <c r="H194" s="19"/>
      <c r="I194" s="19"/>
      <c r="J194" s="19"/>
      <c r="K194" s="19"/>
      <c r="L194" s="19"/>
      <c r="M194" s="19"/>
      <c r="N194" s="19"/>
      <c r="O194" s="19"/>
      <c r="P194" s="19"/>
      <c r="Q194" s="19"/>
      <c r="R194" s="19"/>
      <c r="S194" s="19"/>
      <c r="T194" s="19"/>
      <c r="U194" s="19"/>
      <c r="V194" s="19"/>
      <c r="W194" s="19"/>
      <c r="X194" s="19"/>
    </row>
    <row r="195" spans="1:6" ht="9.75">
      <c r="A195" s="4"/>
      <c r="B195" s="9"/>
      <c r="C195" s="2"/>
      <c r="D195" s="2"/>
      <c r="E195" s="2"/>
      <c r="F195" s="2"/>
    </row>
    <row r="196" spans="1:6" ht="9.75">
      <c r="A196" s="1"/>
      <c r="C196" s="11"/>
      <c r="D196" s="11"/>
      <c r="E196" s="11"/>
      <c r="F196" s="2"/>
    </row>
    <row r="197" spans="1:6" ht="9.75">
      <c r="A197" s="1"/>
      <c r="B197" s="2"/>
      <c r="C197" s="2"/>
      <c r="D197" s="2"/>
      <c r="E197" s="2"/>
      <c r="F197" s="2"/>
    </row>
    <row r="198" spans="1:6" ht="9.75">
      <c r="A198" s="1"/>
      <c r="B198" s="2"/>
      <c r="C198" s="3"/>
      <c r="D198" s="3"/>
      <c r="E198" s="3"/>
      <c r="F198" s="2"/>
    </row>
    <row r="199" spans="1:6" ht="9.75">
      <c r="A199" s="4"/>
      <c r="B199" s="13"/>
      <c r="C199" s="8"/>
      <c r="D199" s="8"/>
      <c r="E199" s="8"/>
      <c r="F199" s="2"/>
    </row>
    <row r="200" spans="1:6" ht="9.75">
      <c r="A200" s="1"/>
      <c r="B200" s="13"/>
      <c r="C200" s="8"/>
      <c r="D200" s="8"/>
      <c r="E200" s="8"/>
      <c r="F200" s="2"/>
    </row>
    <row r="201" spans="1:6" ht="9.75">
      <c r="A201" s="1"/>
      <c r="B201" s="13"/>
      <c r="C201" s="3"/>
      <c r="D201" s="3"/>
      <c r="E201" s="3"/>
      <c r="F201" s="2"/>
    </row>
    <row r="202" spans="1:5" ht="9.75">
      <c r="A202" s="4"/>
      <c r="B202" s="13"/>
      <c r="C202" s="8"/>
      <c r="D202" s="8"/>
      <c r="E202" s="8"/>
    </row>
    <row r="203" spans="1:5" ht="9.75">
      <c r="A203" s="4"/>
      <c r="B203" s="13"/>
      <c r="C203" s="8"/>
      <c r="D203" s="8"/>
      <c r="E203" s="8"/>
    </row>
    <row r="204" spans="1:5" ht="9.75">
      <c r="A204" s="1"/>
      <c r="B204" s="13"/>
      <c r="C204" s="8"/>
      <c r="D204" s="8"/>
      <c r="E204" s="8"/>
    </row>
    <row r="205" spans="1:5" ht="9.75">
      <c r="A205" s="1"/>
      <c r="B205" s="13"/>
      <c r="C205" s="3"/>
      <c r="D205" s="3"/>
      <c r="E205" s="3"/>
    </row>
    <row r="206" spans="1:5" ht="9.75">
      <c r="A206" s="4"/>
      <c r="B206" s="13"/>
      <c r="C206" s="8"/>
      <c r="D206" s="8"/>
      <c r="E206" s="8"/>
    </row>
    <row r="207" spans="1:5" ht="9.75">
      <c r="A207" s="1"/>
      <c r="C207" s="3"/>
      <c r="D207" s="3"/>
      <c r="E207" s="3"/>
    </row>
    <row r="208" spans="1:5" ht="9.75">
      <c r="A208" s="4"/>
      <c r="B208" s="2"/>
      <c r="C208" s="2"/>
      <c r="D208" s="2"/>
      <c r="E208" s="2"/>
    </row>
    <row r="209" spans="1:5" ht="9.75">
      <c r="A209" s="1"/>
      <c r="B209" s="2"/>
      <c r="C209" s="2"/>
      <c r="D209" s="2"/>
      <c r="E209" s="2"/>
    </row>
    <row r="210" spans="1:5" ht="9.75">
      <c r="A210" s="1"/>
      <c r="B210" s="2"/>
      <c r="C210" s="2"/>
      <c r="D210" s="2"/>
      <c r="E210" s="2"/>
    </row>
    <row r="211" spans="1:5" ht="9.75">
      <c r="A211" s="1"/>
      <c r="B211" s="7"/>
      <c r="C211" s="7"/>
      <c r="D211" s="7"/>
      <c r="E211" s="7"/>
    </row>
    <row r="212" spans="1:5" ht="9.75">
      <c r="A212" s="1"/>
      <c r="B212" s="3"/>
      <c r="C212" s="3"/>
      <c r="D212" s="3"/>
      <c r="E212" s="3"/>
    </row>
    <row r="213" spans="1:5" ht="9.75">
      <c r="A213" s="4"/>
      <c r="B213" s="13"/>
      <c r="C213" s="8"/>
      <c r="D213" s="8"/>
      <c r="E213" s="8"/>
    </row>
  </sheetData>
  <sheetProtection password="811F" sheet="1" objects="1" scenarios="1"/>
  <mergeCells count="31">
    <mergeCell ref="AA26:AA33"/>
    <mergeCell ref="U26:U33"/>
    <mergeCell ref="V26:V33"/>
    <mergeCell ref="W26:W33"/>
    <mergeCell ref="P41:AB42"/>
    <mergeCell ref="AC26:AH27"/>
    <mergeCell ref="AE31:AE32"/>
    <mergeCell ref="AB26:AB33"/>
    <mergeCell ref="X26:X33"/>
    <mergeCell ref="Y26:Y33"/>
    <mergeCell ref="Z26:Z33"/>
    <mergeCell ref="G34:G35"/>
    <mergeCell ref="H34:H35"/>
    <mergeCell ref="G42:H42"/>
    <mergeCell ref="P24:R25"/>
    <mergeCell ref="S24:AB25"/>
    <mergeCell ref="P26:P33"/>
    <mergeCell ref="Q26:Q33"/>
    <mergeCell ref="R26:R33"/>
    <mergeCell ref="S26:S33"/>
    <mergeCell ref="T26:T33"/>
    <mergeCell ref="C11:D11"/>
    <mergeCell ref="B26:C26"/>
    <mergeCell ref="G30:H30"/>
    <mergeCell ref="F31:H31"/>
    <mergeCell ref="B58:C58"/>
    <mergeCell ref="B34:C34"/>
    <mergeCell ref="B36:C36"/>
    <mergeCell ref="B48:C48"/>
    <mergeCell ref="G32:H32"/>
    <mergeCell ref="B51:C51"/>
  </mergeCells>
  <printOptions/>
  <pageMargins left="0.4330708661417323" right="0.15748031496062992" top="0.29" bottom="0.15748031496062992" header="0.11811023622047245" footer="0.15748031496062992"/>
  <pageSetup horizontalDpi="180" verticalDpi="180" orientation="portrait" pageOrder="overThenDown" paperSize="9" scale="90"/>
  <drawing r:id="rId3"/>
  <legacyDrawing r:id="rId2"/>
</worksheet>
</file>

<file path=xl/worksheets/sheet3.xml><?xml version="1.0" encoding="utf-8"?>
<worksheet xmlns="http://schemas.openxmlformats.org/spreadsheetml/2006/main" xmlns:r="http://schemas.openxmlformats.org/officeDocument/2006/relationships">
  <sheetPr codeName="Foglio122"/>
  <dimension ref="A1:AZ213"/>
  <sheetViews>
    <sheetView tabSelected="1" zoomScaleSheetLayoutView="100" zoomScalePageLayoutView="0" workbookViewId="0" topLeftCell="B1">
      <selection activeCell="Q16" sqref="Q16"/>
    </sheetView>
  </sheetViews>
  <sheetFormatPr defaultColWidth="9.140625" defaultRowHeight="12.75"/>
  <cols>
    <col min="1" max="1" width="34.421875" style="36" customWidth="1"/>
    <col min="2" max="2" width="7.421875" style="6" customWidth="1"/>
    <col min="3" max="3" width="12.7109375" style="6" customWidth="1"/>
    <col min="4" max="4" width="0.71875" style="6" customWidth="1"/>
    <col min="5" max="5" width="1.28515625" style="6" customWidth="1"/>
    <col min="6" max="6" width="32.28125" style="6" customWidth="1"/>
    <col min="7" max="7" width="7.421875" style="6" customWidth="1"/>
    <col min="8" max="8" width="12.7109375" style="6" customWidth="1"/>
    <col min="9" max="9" width="4.140625" style="6" customWidth="1"/>
    <col min="10" max="10" width="4.140625" style="6" hidden="1" customWidth="1"/>
    <col min="11" max="11" width="4.00390625" style="6" customWidth="1"/>
    <col min="12" max="12" width="5.8515625" style="6" customWidth="1"/>
    <col min="13" max="13" width="5.421875" style="6" customWidth="1"/>
    <col min="14" max="14" width="4.140625" style="6" customWidth="1"/>
    <col min="15" max="15" width="3.7109375" style="6" customWidth="1"/>
    <col min="16" max="18" width="3.421875" style="6" customWidth="1"/>
    <col min="19" max="20" width="3.7109375" style="6" customWidth="1"/>
    <col min="21" max="21" width="3.421875" style="6" customWidth="1"/>
    <col min="22" max="22" width="3.00390625" style="6" customWidth="1"/>
    <col min="23" max="23" width="3.421875" style="6" customWidth="1"/>
    <col min="24" max="24" width="3.140625" style="6" customWidth="1"/>
    <col min="25" max="25" width="5.28125" style="6" hidden="1" customWidth="1"/>
    <col min="26" max="26" width="5.421875" style="6" hidden="1" customWidth="1"/>
    <col min="27" max="27" width="8.7109375" style="6" hidden="1" customWidth="1"/>
    <col min="28" max="28" width="8.421875" style="6" hidden="1" customWidth="1"/>
    <col min="29" max="29" width="4.8515625" style="6" hidden="1" customWidth="1"/>
    <col min="30" max="30" width="12.7109375" style="6" hidden="1" customWidth="1"/>
    <col min="31" max="31" width="2.00390625" style="6" hidden="1" customWidth="1"/>
    <col min="32" max="32" width="7.8515625" style="6" hidden="1" customWidth="1"/>
    <col min="33" max="33" width="8.7109375" style="6" hidden="1" customWidth="1"/>
    <col min="34" max="34" width="10.8515625" style="513" hidden="1" customWidth="1"/>
    <col min="35" max="35" width="15.7109375" style="6" hidden="1" customWidth="1"/>
    <col min="36" max="36" width="16.00390625" style="6" hidden="1" customWidth="1"/>
    <col min="37" max="37" width="18.8515625" style="6" hidden="1" customWidth="1"/>
    <col min="38" max="38" width="23.00390625" style="6" hidden="1" customWidth="1"/>
    <col min="39" max="39" width="17.00390625" style="6" hidden="1" customWidth="1"/>
    <col min="40" max="40" width="3.421875" style="6" hidden="1" customWidth="1"/>
    <col min="41" max="41" width="10.28125" style="6" hidden="1" customWidth="1"/>
    <col min="42" max="42" width="7.8515625" style="6" customWidth="1"/>
    <col min="43" max="43" width="5.00390625" style="6" customWidth="1"/>
    <col min="44" max="44" width="6.8515625" style="6" customWidth="1"/>
    <col min="45" max="45" width="9.7109375" style="6" customWidth="1"/>
    <col min="46" max="46" width="9.421875" style="6" customWidth="1"/>
    <col min="47" max="47" width="13.00390625" style="6" customWidth="1"/>
    <col min="48" max="48" width="9.7109375" style="6" customWidth="1"/>
    <col min="49" max="49" width="11.00390625" style="6" customWidth="1"/>
    <col min="50" max="16384" width="9.140625" style="6" customWidth="1"/>
  </cols>
  <sheetData>
    <row r="1" spans="1:45" ht="18" customHeight="1">
      <c r="A1" s="896" t="s">
        <v>159</v>
      </c>
      <c r="B1" s="896"/>
      <c r="C1" s="896"/>
      <c r="D1" s="896"/>
      <c r="E1" s="896"/>
      <c r="F1" s="896"/>
      <c r="G1" s="896"/>
      <c r="H1" s="896"/>
      <c r="I1" s="142"/>
      <c r="J1" s="142"/>
      <c r="K1" s="142"/>
      <c r="L1" s="142"/>
      <c r="M1" s="142"/>
      <c r="N1" s="142"/>
      <c r="O1" s="142"/>
      <c r="P1" s="142"/>
      <c r="Q1" s="142"/>
      <c r="R1" s="142"/>
      <c r="S1" s="142"/>
      <c r="T1" s="142"/>
      <c r="U1" s="142"/>
      <c r="V1" s="142"/>
      <c r="W1" s="142"/>
      <c r="X1" s="142"/>
      <c r="Y1" s="142"/>
      <c r="Z1" s="142"/>
      <c r="AA1" s="142"/>
      <c r="AB1" s="142"/>
      <c r="AC1" s="142"/>
      <c r="AD1" s="142"/>
      <c r="AE1" s="142"/>
      <c r="AF1" s="19"/>
      <c r="AG1" s="147"/>
      <c r="AH1" s="704"/>
      <c r="AI1" s="19"/>
      <c r="AJ1" s="19"/>
      <c r="AK1" s="19"/>
      <c r="AL1" s="19"/>
      <c r="AM1" s="19"/>
      <c r="AN1" s="19"/>
      <c r="AO1" s="19"/>
      <c r="AP1" s="19"/>
      <c r="AQ1" s="19"/>
      <c r="AR1" s="19"/>
      <c r="AS1" s="19"/>
    </row>
    <row r="2" spans="1:52" ht="32.25" customHeight="1">
      <c r="A2" s="897"/>
      <c r="B2" s="897"/>
      <c r="C2" s="897"/>
      <c r="D2" s="897"/>
      <c r="E2" s="897"/>
      <c r="F2" s="897"/>
      <c r="G2" s="897"/>
      <c r="H2" s="897"/>
      <c r="I2" s="142"/>
      <c r="J2" s="142"/>
      <c r="K2" s="142"/>
      <c r="M2" s="704"/>
      <c r="N2" s="704"/>
      <c r="O2" s="513"/>
      <c r="P2" s="142"/>
      <c r="Q2" s="142"/>
      <c r="R2" s="142"/>
      <c r="S2" s="142"/>
      <c r="T2" s="142"/>
      <c r="U2" s="142"/>
      <c r="V2" s="142"/>
      <c r="W2" s="142"/>
      <c r="X2" s="142"/>
      <c r="Y2" s="142"/>
      <c r="Z2" s="142"/>
      <c r="AA2" s="142"/>
      <c r="AB2" s="142"/>
      <c r="AC2" s="142"/>
      <c r="AD2" s="142"/>
      <c r="AE2" s="142"/>
      <c r="AF2" s="740"/>
      <c r="AG2" s="740"/>
      <c r="AH2" s="776" t="s">
        <v>23</v>
      </c>
      <c r="AI2" s="776"/>
      <c r="AJ2" s="776"/>
      <c r="AK2" s="776"/>
      <c r="AL2" s="776"/>
      <c r="AM2" s="776"/>
      <c r="AN2" s="776"/>
      <c r="AO2" s="787"/>
      <c r="AP2" s="787"/>
      <c r="AQ2" s="787"/>
      <c r="AR2" s="787"/>
      <c r="AS2" s="787"/>
      <c r="AT2" s="787"/>
      <c r="AU2" s="787"/>
      <c r="AV2" s="787"/>
      <c r="AW2" s="776"/>
      <c r="AX2" s="278" t="s">
        <v>180</v>
      </c>
      <c r="AY2" s="776"/>
      <c r="AZ2" s="278" t="s">
        <v>180</v>
      </c>
    </row>
    <row r="3" spans="1:52" ht="12.75" customHeight="1">
      <c r="A3" s="458"/>
      <c r="B3" s="459"/>
      <c r="C3" s="480"/>
      <c r="D3" s="461"/>
      <c r="E3" s="460"/>
      <c r="F3" s="458"/>
      <c r="G3" s="459"/>
      <c r="H3" s="461"/>
      <c r="I3" s="142"/>
      <c r="J3" s="142"/>
      <c r="K3" s="142"/>
      <c r="M3" s="142"/>
      <c r="N3" s="513"/>
      <c r="O3" s="513"/>
      <c r="P3" s="142"/>
      <c r="Q3" s="142"/>
      <c r="R3" s="142"/>
      <c r="S3" s="142"/>
      <c r="T3" s="142"/>
      <c r="U3" s="142"/>
      <c r="V3" s="142"/>
      <c r="W3" s="142"/>
      <c r="X3" s="142"/>
      <c r="Y3" s="142"/>
      <c r="Z3" s="142"/>
      <c r="AA3" s="142"/>
      <c r="AB3" s="142"/>
      <c r="AC3" s="142"/>
      <c r="AD3" s="142"/>
      <c r="AE3" s="142"/>
      <c r="AH3" s="704"/>
      <c r="AI3" s="19"/>
      <c r="AJ3" s="19"/>
      <c r="AK3" s="19"/>
      <c r="AL3" s="19"/>
      <c r="AM3" s="19"/>
      <c r="AN3" s="19"/>
      <c r="AO3" s="19"/>
      <c r="AP3" s="19"/>
      <c r="AQ3" s="19"/>
      <c r="AR3" s="19"/>
      <c r="AS3" s="19"/>
      <c r="AX3" s="681" t="s">
        <v>194</v>
      </c>
      <c r="AZ3" s="681" t="s">
        <v>194</v>
      </c>
    </row>
    <row r="4" spans="1:52" ht="12.75" customHeight="1">
      <c r="A4" s="442" t="s">
        <v>156</v>
      </c>
      <c r="B4" s="443"/>
      <c r="C4" s="444"/>
      <c r="D4" s="448"/>
      <c r="E4" s="440"/>
      <c r="F4" s="442" t="s">
        <v>40</v>
      </c>
      <c r="G4" s="443"/>
      <c r="H4" s="448"/>
      <c r="I4" s="142"/>
      <c r="J4" s="142"/>
      <c r="K4" s="142"/>
      <c r="M4" s="142"/>
      <c r="N4" s="513"/>
      <c r="O4" s="513"/>
      <c r="P4" s="142"/>
      <c r="Q4" s="142"/>
      <c r="R4" s="142"/>
      <c r="S4" s="142"/>
      <c r="T4" s="142"/>
      <c r="U4" s="142"/>
      <c r="V4" s="142"/>
      <c r="W4" s="142"/>
      <c r="X4" s="142"/>
      <c r="Y4" s="142"/>
      <c r="Z4" s="142"/>
      <c r="AA4" s="142"/>
      <c r="AB4" s="142"/>
      <c r="AC4" s="142"/>
      <c r="AD4" s="142"/>
      <c r="AE4" s="142"/>
      <c r="AH4" s="704"/>
      <c r="AI4" s="19"/>
      <c r="AJ4" s="19"/>
      <c r="AK4" s="19"/>
      <c r="AL4" s="19"/>
      <c r="AM4" s="19"/>
      <c r="AN4" s="19"/>
      <c r="AO4" s="19"/>
      <c r="AP4" s="19"/>
      <c r="AQ4" s="19"/>
      <c r="AR4" s="19"/>
      <c r="AS4" s="19"/>
      <c r="AX4" s="681" t="s">
        <v>195</v>
      </c>
      <c r="AZ4" s="681" t="s">
        <v>195</v>
      </c>
    </row>
    <row r="5" spans="1:52" ht="12.75" customHeight="1">
      <c r="A5" s="442"/>
      <c r="B5" s="443"/>
      <c r="C5" s="444"/>
      <c r="D5" s="448"/>
      <c r="E5" s="440"/>
      <c r="F5" s="442"/>
      <c r="G5" s="443"/>
      <c r="H5" s="448"/>
      <c r="I5" s="142"/>
      <c r="J5" s="142"/>
      <c r="K5" s="142"/>
      <c r="M5" s="142"/>
      <c r="N5" s="513"/>
      <c r="O5" s="513"/>
      <c r="P5" s="142"/>
      <c r="Q5" s="142"/>
      <c r="R5" s="142"/>
      <c r="S5" s="142"/>
      <c r="T5" s="142"/>
      <c r="U5" s="142"/>
      <c r="V5" s="142"/>
      <c r="W5" s="142"/>
      <c r="X5" s="142"/>
      <c r="Y5" s="142"/>
      <c r="Z5" s="142"/>
      <c r="AA5" s="142"/>
      <c r="AB5" s="142"/>
      <c r="AC5" s="142"/>
      <c r="AD5" s="142"/>
      <c r="AE5" s="142"/>
      <c r="AH5" s="704"/>
      <c r="AI5" s="19"/>
      <c r="AJ5" s="19"/>
      <c r="AK5" s="19"/>
      <c r="AL5" s="19"/>
      <c r="AM5" s="19"/>
      <c r="AN5" s="19"/>
      <c r="AO5" s="19"/>
      <c r="AP5" s="19"/>
      <c r="AQ5" s="19"/>
      <c r="AR5" s="19"/>
      <c r="AS5" s="19"/>
      <c r="AX5" s="681" t="s">
        <v>196</v>
      </c>
      <c r="AZ5" s="681" t="s">
        <v>196</v>
      </c>
    </row>
    <row r="6" spans="1:52" ht="12.75" customHeight="1">
      <c r="A6" s="815"/>
      <c r="B6" s="443"/>
      <c r="C6" s="444"/>
      <c r="D6" s="448"/>
      <c r="E6" s="440"/>
      <c r="F6" s="442" t="s">
        <v>41</v>
      </c>
      <c r="G6" s="443"/>
      <c r="H6" s="448"/>
      <c r="I6" s="142"/>
      <c r="J6" s="142"/>
      <c r="K6" s="142"/>
      <c r="M6" s="142"/>
      <c r="N6" s="513"/>
      <c r="O6" s="513"/>
      <c r="P6" s="142"/>
      <c r="Q6" s="142"/>
      <c r="R6" s="142"/>
      <c r="S6" s="142"/>
      <c r="T6" s="142"/>
      <c r="U6" s="142"/>
      <c r="V6" s="142"/>
      <c r="W6" s="142"/>
      <c r="X6" s="142"/>
      <c r="Y6" s="142"/>
      <c r="Z6" s="142"/>
      <c r="AA6" s="142"/>
      <c r="AB6" s="142"/>
      <c r="AC6" s="142"/>
      <c r="AD6" s="142"/>
      <c r="AE6" s="142"/>
      <c r="AH6" s="704"/>
      <c r="AI6" s="19"/>
      <c r="AJ6" s="19"/>
      <c r="AK6" s="19"/>
      <c r="AL6" s="19"/>
      <c r="AM6" s="19"/>
      <c r="AN6" s="19"/>
      <c r="AO6" s="19"/>
      <c r="AP6" s="19"/>
      <c r="AQ6" s="19"/>
      <c r="AR6" s="19"/>
      <c r="AS6" s="19"/>
      <c r="AX6" s="681" t="s">
        <v>197</v>
      </c>
      <c r="AZ6" s="681" t="s">
        <v>197</v>
      </c>
    </row>
    <row r="7" spans="1:45" ht="12.75" customHeight="1">
      <c r="A7" s="442" t="s">
        <v>157</v>
      </c>
      <c r="B7" s="443"/>
      <c r="C7" s="444"/>
      <c r="D7" s="448"/>
      <c r="E7" s="440"/>
      <c r="F7" s="442"/>
      <c r="G7" s="443"/>
      <c r="H7" s="448"/>
      <c r="I7" s="142"/>
      <c r="J7" s="142"/>
      <c r="K7" s="142"/>
      <c r="L7" s="142"/>
      <c r="M7" s="142"/>
      <c r="N7" s="142"/>
      <c r="O7" s="142"/>
      <c r="P7" s="142"/>
      <c r="Q7" s="142"/>
      <c r="R7" s="142"/>
      <c r="S7" s="142"/>
      <c r="T7" s="142"/>
      <c r="U7" s="142"/>
      <c r="V7" s="142"/>
      <c r="W7" s="142"/>
      <c r="X7" s="142"/>
      <c r="Y7" s="142"/>
      <c r="Z7" s="142"/>
      <c r="AA7" s="142"/>
      <c r="AB7" s="142"/>
      <c r="AC7" s="142"/>
      <c r="AD7" s="142"/>
      <c r="AE7" s="142"/>
      <c r="AF7" s="19"/>
      <c r="AG7" s="147"/>
      <c r="AH7" s="704"/>
      <c r="AI7" s="19"/>
      <c r="AJ7" s="19"/>
      <c r="AK7" s="19"/>
      <c r="AL7" s="19"/>
      <c r="AM7" s="19"/>
      <c r="AN7" s="19"/>
      <c r="AO7" s="19"/>
      <c r="AP7" s="19"/>
      <c r="AQ7" s="19"/>
      <c r="AR7" s="19"/>
      <c r="AS7" s="19"/>
    </row>
    <row r="8" spans="1:45" ht="12.75" customHeight="1">
      <c r="A8" s="442" t="s">
        <v>43</v>
      </c>
      <c r="B8" s="443"/>
      <c r="C8" s="444"/>
      <c r="D8" s="448"/>
      <c r="E8" s="440"/>
      <c r="F8" s="442" t="s">
        <v>42</v>
      </c>
      <c r="G8" s="443"/>
      <c r="H8" s="448"/>
      <c r="I8" s="142"/>
      <c r="J8" s="142"/>
      <c r="K8" s="142"/>
      <c r="L8" s="142"/>
      <c r="M8" s="142"/>
      <c r="N8" s="142"/>
      <c r="O8" s="142"/>
      <c r="P8" s="142"/>
      <c r="Q8" s="142"/>
      <c r="R8" s="142"/>
      <c r="S8" s="142"/>
      <c r="T8" s="142"/>
      <c r="U8" s="142"/>
      <c r="V8" s="142"/>
      <c r="W8" s="142"/>
      <c r="X8" s="142"/>
      <c r="Y8" s="142"/>
      <c r="Z8" s="142"/>
      <c r="AA8" s="142"/>
      <c r="AB8" s="142"/>
      <c r="AC8" s="142"/>
      <c r="AD8" s="142"/>
      <c r="AE8" s="142"/>
      <c r="AF8" s="19"/>
      <c r="AG8" s="147"/>
      <c r="AH8" s="704"/>
      <c r="AI8" s="19"/>
      <c r="AJ8" s="19"/>
      <c r="AK8" s="19"/>
      <c r="AL8" s="19"/>
      <c r="AM8" s="19"/>
      <c r="AN8" s="19"/>
      <c r="AO8" s="19"/>
      <c r="AP8" s="19"/>
      <c r="AQ8" s="19"/>
      <c r="AR8" s="19"/>
      <c r="AS8" s="19"/>
    </row>
    <row r="9" spans="1:45" ht="18" customHeight="1">
      <c r="A9" s="445"/>
      <c r="B9" s="446"/>
      <c r="C9" s="447"/>
      <c r="D9" s="449"/>
      <c r="E9" s="441"/>
      <c r="F9" s="445"/>
      <c r="G9" s="446"/>
      <c r="H9" s="449"/>
      <c r="I9" s="142"/>
      <c r="J9" s="142"/>
      <c r="K9" s="142"/>
      <c r="L9" s="142"/>
      <c r="M9" s="142"/>
      <c r="N9" s="142"/>
      <c r="O9" s="142"/>
      <c r="P9" s="142"/>
      <c r="Q9" s="142"/>
      <c r="R9" s="142"/>
      <c r="S9" s="142"/>
      <c r="T9" s="142"/>
      <c r="U9" s="142"/>
      <c r="V9" s="142"/>
      <c r="W9" s="142"/>
      <c r="X9" s="142"/>
      <c r="Y9" s="142"/>
      <c r="Z9" s="142"/>
      <c r="AA9" s="142"/>
      <c r="AB9" s="142"/>
      <c r="AC9" s="142"/>
      <c r="AD9" s="142"/>
      <c r="AE9" s="142"/>
      <c r="AF9" s="19"/>
      <c r="AG9" s="147"/>
      <c r="AH9" s="704"/>
      <c r="AI9" s="19"/>
      <c r="AJ9" s="19"/>
      <c r="AK9" s="19"/>
      <c r="AL9" s="19"/>
      <c r="AM9" s="19"/>
      <c r="AN9" s="19"/>
      <c r="AO9" s="19"/>
      <c r="AP9" s="19"/>
      <c r="AQ9" s="19"/>
      <c r="AR9" s="19"/>
      <c r="AS9" s="19"/>
    </row>
    <row r="10" spans="1:45" ht="51.75" customHeight="1" hidden="1">
      <c r="A10" s="296"/>
      <c r="B10" s="112"/>
      <c r="C10" s="142"/>
      <c r="D10" s="169"/>
      <c r="E10" s="169"/>
      <c r="F10" s="285"/>
      <c r="G10" s="142"/>
      <c r="H10" s="28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9"/>
      <c r="AG10" s="147"/>
      <c r="AH10" s="704"/>
      <c r="AI10" s="19"/>
      <c r="AJ10" s="19"/>
      <c r="AK10" s="19"/>
      <c r="AL10" s="19"/>
      <c r="AM10" s="19"/>
      <c r="AN10" s="19"/>
      <c r="AO10" s="19"/>
      <c r="AP10" s="19"/>
      <c r="AQ10" s="19"/>
      <c r="AR10" s="19"/>
      <c r="AS10" s="19"/>
    </row>
    <row r="11" spans="1:45" ht="23.25" customHeight="1">
      <c r="A11" s="183">
        <f>M29*1.5</f>
        <v>0</v>
      </c>
      <c r="B11" s="184" t="s">
        <v>382</v>
      </c>
      <c r="C11" s="816" t="s">
        <v>181</v>
      </c>
      <c r="D11" s="817"/>
      <c r="E11" s="262"/>
      <c r="F11" s="653"/>
      <c r="G11" s="190"/>
      <c r="H11" s="191"/>
      <c r="I11" s="145"/>
      <c r="J11" s="145"/>
      <c r="K11" s="145"/>
      <c r="L11" s="145"/>
      <c r="N11" s="145"/>
      <c r="O11" s="145"/>
      <c r="P11" s="146"/>
      <c r="Q11" s="146"/>
      <c r="R11" s="146"/>
      <c r="S11" s="146"/>
      <c r="T11" s="146"/>
      <c r="U11" s="146"/>
      <c r="V11" s="146"/>
      <c r="W11" s="146"/>
      <c r="X11" s="146"/>
      <c r="Y11" s="146"/>
      <c r="Z11" s="146"/>
      <c r="AA11" s="146"/>
      <c r="AB11" s="146"/>
      <c r="AC11" s="146"/>
      <c r="AD11" s="146"/>
      <c r="AE11" s="146"/>
      <c r="AF11" s="151"/>
      <c r="AG11" s="176"/>
      <c r="AH11" s="704"/>
      <c r="AI11" s="143"/>
      <c r="AJ11" s="142"/>
      <c r="AK11" s="19"/>
      <c r="AL11" s="19"/>
      <c r="AM11" s="19"/>
      <c r="AN11" s="19"/>
      <c r="AO11" s="144"/>
      <c r="AP11" s="19"/>
      <c r="AQ11" s="19"/>
      <c r="AR11" s="19"/>
      <c r="AS11" s="19"/>
    </row>
    <row r="12" spans="1:45" ht="13.5" customHeight="1">
      <c r="A12" s="185" t="s">
        <v>306</v>
      </c>
      <c r="B12" s="243" t="s">
        <v>257</v>
      </c>
      <c r="C12" s="391">
        <v>0</v>
      </c>
      <c r="D12" s="246"/>
      <c r="E12" s="252"/>
      <c r="F12" s="215" t="s">
        <v>191</v>
      </c>
      <c r="G12" s="216" t="s">
        <v>246</v>
      </c>
      <c r="H12" s="228"/>
      <c r="I12" s="145"/>
      <c r="J12" s="145"/>
      <c r="K12" s="145"/>
      <c r="L12" s="145"/>
      <c r="M12" s="145"/>
      <c r="N12" s="145"/>
      <c r="O12" s="145"/>
      <c r="P12" s="146"/>
      <c r="Q12" s="146"/>
      <c r="R12" s="146"/>
      <c r="S12" s="146"/>
      <c r="T12" s="146"/>
      <c r="U12" s="146"/>
      <c r="V12" s="146"/>
      <c r="W12" s="146"/>
      <c r="X12" s="146"/>
      <c r="Y12" s="146"/>
      <c r="Z12" s="146"/>
      <c r="AA12" s="146"/>
      <c r="AB12" s="146"/>
      <c r="AC12" s="146"/>
      <c r="AD12" s="146"/>
      <c r="AE12" s="146"/>
      <c r="AF12" s="151"/>
      <c r="AG12" s="170"/>
      <c r="AH12" s="704"/>
      <c r="AI12" s="145"/>
      <c r="AJ12" s="146"/>
      <c r="AK12" s="106"/>
      <c r="AL12" s="147"/>
      <c r="AM12" s="147"/>
      <c r="AN12" s="19"/>
      <c r="AO12" s="106"/>
      <c r="AP12" s="19"/>
      <c r="AQ12" s="19"/>
      <c r="AR12" s="19"/>
      <c r="AS12" s="19"/>
    </row>
    <row r="13" spans="1:50" ht="12" customHeight="1">
      <c r="A13" s="215" t="s">
        <v>377</v>
      </c>
      <c r="B13" s="438">
        <f>TA!C140</f>
        <v>0</v>
      </c>
      <c r="C13" s="142"/>
      <c r="D13" s="247"/>
      <c r="E13" s="253"/>
      <c r="F13" s="215" t="s">
        <v>302</v>
      </c>
      <c r="G13" s="168">
        <v>0.2</v>
      </c>
      <c r="H13" s="228"/>
      <c r="I13" s="145"/>
      <c r="J13" s="145"/>
      <c r="K13" s="145"/>
      <c r="L13" s="145"/>
      <c r="M13" s="145"/>
      <c r="N13" s="145"/>
      <c r="O13" s="145"/>
      <c r="P13" s="146"/>
      <c r="Q13" s="146"/>
      <c r="R13" s="146"/>
      <c r="S13" s="146"/>
      <c r="T13" s="146"/>
      <c r="U13" s="146"/>
      <c r="V13" s="146"/>
      <c r="W13" s="146"/>
      <c r="X13" s="741"/>
      <c r="Y13" s="146"/>
      <c r="Z13" s="146"/>
      <c r="AA13" s="146"/>
      <c r="AB13" s="146"/>
      <c r="AC13" s="146"/>
      <c r="AD13" s="146"/>
      <c r="AE13" s="146"/>
      <c r="AF13" s="705"/>
      <c r="AG13" s="706"/>
      <c r="AH13" s="707"/>
      <c r="AI13" s="145"/>
      <c r="AJ13" s="146"/>
      <c r="AK13" s="106"/>
      <c r="AL13" s="147"/>
      <c r="AM13" s="147"/>
      <c r="AN13" s="19"/>
      <c r="AO13" s="106"/>
      <c r="AP13" s="19"/>
      <c r="AQ13" s="19"/>
      <c r="AR13" s="19"/>
      <c r="AS13" s="19"/>
      <c r="AU13" s="19"/>
      <c r="AV13" s="19"/>
      <c r="AW13" s="19"/>
      <c r="AX13" s="19"/>
    </row>
    <row r="14" spans="1:50" ht="12" customHeight="1">
      <c r="A14" s="650" t="str">
        <f>IF(C12&gt;2582284.49544743,"per costo &gt; €.2582285,49544743 % su ecced. = ","Prestazioni parziali (Tab.B)")</f>
        <v>Prestazioni parziali (Tab.B)</v>
      </c>
      <c r="B14" s="436" t="str">
        <f>IF(C12&gt;2582284.49544743,TA!C149,"   ")</f>
        <v>   </v>
      </c>
      <c r="C14" s="142"/>
      <c r="D14" s="247"/>
      <c r="E14" s="253"/>
      <c r="F14" s="226" t="str">
        <f>TA!G147&amp;" * "&amp;B13&amp;" * "&amp;C12&amp;" * "&amp;G13&amp;"   = "</f>
        <v>0,25 * 0 * 0 * 0,2   = </v>
      </c>
      <c r="G14" s="229"/>
      <c r="H14" s="475">
        <f>AG52*AK27*TA!G147*G13</f>
        <v>0</v>
      </c>
      <c r="I14" s="145"/>
      <c r="J14" s="145"/>
      <c r="K14" s="145"/>
      <c r="L14" s="145"/>
      <c r="M14" s="145"/>
      <c r="N14" s="145"/>
      <c r="O14" s="145"/>
      <c r="P14" s="146"/>
      <c r="Q14" s="146"/>
      <c r="R14" s="146"/>
      <c r="S14" s="146"/>
      <c r="T14" s="146"/>
      <c r="U14" s="146"/>
      <c r="V14" s="146"/>
      <c r="W14" s="146"/>
      <c r="X14" s="146"/>
      <c r="Y14" s="146"/>
      <c r="Z14" s="146"/>
      <c r="AA14" s="146"/>
      <c r="AB14" s="146"/>
      <c r="AC14" s="146"/>
      <c r="AD14" s="146"/>
      <c r="AE14" s="146"/>
      <c r="AF14" s="705"/>
      <c r="AG14" s="706"/>
      <c r="AH14" s="707"/>
      <c r="AI14" s="145"/>
      <c r="AJ14" s="146"/>
      <c r="AK14" s="106"/>
      <c r="AL14" s="147"/>
      <c r="AM14" s="147"/>
      <c r="AN14" s="19"/>
      <c r="AO14" s="106"/>
      <c r="AP14" s="19"/>
      <c r="AQ14" s="19"/>
      <c r="AR14" s="19"/>
      <c r="AS14" s="19"/>
      <c r="AU14" s="19"/>
      <c r="AV14" s="19"/>
      <c r="AW14" s="19"/>
      <c r="AX14" s="19"/>
    </row>
    <row r="15" spans="1:50" ht="12" customHeight="1">
      <c r="A15" s="195" t="s">
        <v>307</v>
      </c>
      <c r="B15" s="196">
        <f>IF(C15&lt;&gt;0,AG15*TA!G141*C15,AG15*TA!G141)</f>
        <v>0</v>
      </c>
      <c r="C15" s="409"/>
      <c r="D15" s="33"/>
      <c r="E15" s="19"/>
      <c r="F15" s="654" t="s">
        <v>305</v>
      </c>
      <c r="G15" s="168">
        <v>0.15</v>
      </c>
      <c r="H15" s="231"/>
      <c r="I15" s="145"/>
      <c r="J15" s="145"/>
      <c r="K15" s="145"/>
      <c r="L15" s="145"/>
      <c r="M15" s="145"/>
      <c r="N15" s="145"/>
      <c r="O15" s="145"/>
      <c r="P15" s="148"/>
      <c r="Q15" s="148"/>
      <c r="R15" s="148"/>
      <c r="S15" s="148"/>
      <c r="T15" s="148"/>
      <c r="U15" s="148"/>
      <c r="V15" s="148"/>
      <c r="W15" s="148"/>
      <c r="X15" s="148"/>
      <c r="Y15" s="148"/>
      <c r="Z15" s="148"/>
      <c r="AA15" s="148"/>
      <c r="AB15" s="148"/>
      <c r="AC15" s="148"/>
      <c r="AD15" s="148"/>
      <c r="AE15" s="148"/>
      <c r="AF15" s="708"/>
      <c r="AG15" s="705" t="b">
        <v>0</v>
      </c>
      <c r="AH15" s="707"/>
      <c r="AI15" s="145"/>
      <c r="AJ15" s="146"/>
      <c r="AK15" s="106"/>
      <c r="AL15" s="147"/>
      <c r="AM15" s="147"/>
      <c r="AN15" s="19"/>
      <c r="AO15" s="106"/>
      <c r="AP15" s="19"/>
      <c r="AQ15" s="19"/>
      <c r="AR15" s="19"/>
      <c r="AS15" s="19"/>
      <c r="AU15" s="19"/>
      <c r="AV15" s="19"/>
      <c r="AW15" s="19"/>
      <c r="AX15" s="19"/>
    </row>
    <row r="16" spans="1:50" ht="12" customHeight="1">
      <c r="A16" s="195" t="s">
        <v>308</v>
      </c>
      <c r="B16" s="196">
        <f>IF(C16&lt;&gt;0,AG16*TA!G142*C16,AG16*TA!G142)</f>
        <v>0</v>
      </c>
      <c r="C16" s="409"/>
      <c r="D16" s="186"/>
      <c r="E16" s="169"/>
      <c r="F16" s="226" t="str">
        <f>(TA!G141+TA!G142+TA!G143+TA!G144+TA!G145+TA!G146)&amp;" x "&amp;C12&amp;" x "&amp;B13&amp;" x "&amp;G15</f>
        <v>0,65 x 0 x 0 x 0,15</v>
      </c>
      <c r="G16" s="216"/>
      <c r="H16" s="475">
        <f>((TA!G141+TA!G142+TA!G143+TA!G144+TA!G145+TA!G146)*G15)*AK27*AG54</f>
        <v>0</v>
      </c>
      <c r="I16" s="145"/>
      <c r="J16" s="891" t="s">
        <v>38</v>
      </c>
      <c r="K16" s="145"/>
      <c r="L16" s="145"/>
      <c r="M16" s="145"/>
      <c r="N16" s="145"/>
      <c r="O16" s="145"/>
      <c r="P16" s="148"/>
      <c r="Q16" s="148"/>
      <c r="R16" s="148"/>
      <c r="S16" s="148"/>
      <c r="T16" s="148"/>
      <c r="U16" s="148"/>
      <c r="V16" s="148"/>
      <c r="W16" s="148"/>
      <c r="X16" s="148"/>
      <c r="Y16" s="148"/>
      <c r="Z16" s="148"/>
      <c r="AA16" s="148"/>
      <c r="AB16" s="148"/>
      <c r="AC16" s="148"/>
      <c r="AD16" s="148"/>
      <c r="AE16" s="148"/>
      <c r="AF16" s="708">
        <f aca="true" t="shared" si="0" ref="AF16:AF24">D16</f>
        <v>0</v>
      </c>
      <c r="AG16" s="705" t="b">
        <v>0</v>
      </c>
      <c r="AH16" s="707"/>
      <c r="AI16" s="145"/>
      <c r="AJ16" s="148"/>
      <c r="AK16" s="106"/>
      <c r="AL16" s="147"/>
      <c r="AM16" s="147"/>
      <c r="AN16" s="106"/>
      <c r="AO16" s="106"/>
      <c r="AP16" s="19"/>
      <c r="AQ16" s="19"/>
      <c r="AR16" s="19"/>
      <c r="AS16" s="19"/>
      <c r="AU16" s="19"/>
      <c r="AV16" s="19"/>
      <c r="AW16" s="19"/>
      <c r="AX16" s="19"/>
    </row>
    <row r="17" spans="1:50" ht="12" customHeight="1">
      <c r="A17" s="195" t="s">
        <v>309</v>
      </c>
      <c r="B17" s="196">
        <f>IF(C17&lt;&gt;0,AG17*TA!G143*C17,AG17*TA!G143)</f>
        <v>0</v>
      </c>
      <c r="C17" s="409"/>
      <c r="D17" s="186"/>
      <c r="E17" s="169"/>
      <c r="F17" s="226" t="s">
        <v>176</v>
      </c>
      <c r="G17" s="232"/>
      <c r="H17" s="230"/>
      <c r="J17" s="891"/>
      <c r="L17" s="836" t="s">
        <v>99</v>
      </c>
      <c r="M17" s="837"/>
      <c r="N17" s="838"/>
      <c r="O17" s="836" t="s">
        <v>138</v>
      </c>
      <c r="P17" s="837"/>
      <c r="Q17" s="837"/>
      <c r="R17" s="837"/>
      <c r="S17" s="837"/>
      <c r="T17" s="837"/>
      <c r="U17" s="837"/>
      <c r="V17" s="837"/>
      <c r="W17" s="837"/>
      <c r="X17" s="838"/>
      <c r="Y17" s="148"/>
      <c r="Z17" s="148"/>
      <c r="AA17" s="148"/>
      <c r="AB17" s="148"/>
      <c r="AC17" s="148"/>
      <c r="AD17" s="148"/>
      <c r="AE17" s="148"/>
      <c r="AF17" s="708">
        <f t="shared" si="0"/>
        <v>0</v>
      </c>
      <c r="AG17" s="705" t="b">
        <v>0</v>
      </c>
      <c r="AH17" s="707"/>
      <c r="AI17" s="145"/>
      <c r="AJ17" s="148"/>
      <c r="AK17" s="106"/>
      <c r="AL17" s="147"/>
      <c r="AM17" s="147"/>
      <c r="AN17" s="106"/>
      <c r="AO17" s="106"/>
      <c r="AP17" s="19"/>
      <c r="AQ17" s="19"/>
      <c r="AR17" s="19"/>
      <c r="AS17" s="19"/>
      <c r="AT17" s="19"/>
      <c r="AU17" s="19"/>
      <c r="AV17" s="19"/>
      <c r="AW17" s="19"/>
      <c r="AX17" s="19"/>
    </row>
    <row r="18" spans="1:50" ht="12" customHeight="1" thickBot="1">
      <c r="A18" s="195" t="s">
        <v>310</v>
      </c>
      <c r="B18" s="196">
        <f>IF(C18&lt;&gt;0,AG18*TA!G144*C18,AG18*TA!G144)</f>
        <v>0</v>
      </c>
      <c r="C18" s="409"/>
      <c r="D18" s="186"/>
      <c r="E18" s="169"/>
      <c r="F18" s="226" t="str">
        <f>(TA!G141+TA!G143+TA!G145+TA!G147)&amp;" x "&amp;C12&amp;" x "&amp;B13&amp;" x"</f>
        <v>0,75 x 0 x 0 x</v>
      </c>
      <c r="G18" s="136">
        <v>0.6</v>
      </c>
      <c r="H18" s="475">
        <f>((TA!G141+TA!G143+TA!G145+TA!G147))*AK27*G18*AG55</f>
        <v>0</v>
      </c>
      <c r="J18" s="891"/>
      <c r="L18" s="839"/>
      <c r="M18" s="840"/>
      <c r="N18" s="841"/>
      <c r="O18" s="839"/>
      <c r="P18" s="840"/>
      <c r="Q18" s="840"/>
      <c r="R18" s="840"/>
      <c r="S18" s="840"/>
      <c r="T18" s="840"/>
      <c r="U18" s="840"/>
      <c r="V18" s="840"/>
      <c r="W18" s="840"/>
      <c r="X18" s="841"/>
      <c r="Y18" s="148"/>
      <c r="Z18" s="148"/>
      <c r="AA18" s="148"/>
      <c r="AB18" s="148"/>
      <c r="AC18" s="148"/>
      <c r="AD18" s="148"/>
      <c r="AE18" s="148"/>
      <c r="AF18" s="708">
        <f t="shared" si="0"/>
        <v>0</v>
      </c>
      <c r="AG18" s="705" t="b">
        <v>0</v>
      </c>
      <c r="AH18" s="707"/>
      <c r="AI18" s="145"/>
      <c r="AJ18" s="148"/>
      <c r="AK18" s="106"/>
      <c r="AL18" s="147"/>
      <c r="AM18" s="147"/>
      <c r="AN18" s="106"/>
      <c r="AO18" s="106"/>
      <c r="AP18" s="19"/>
      <c r="AQ18" s="19"/>
      <c r="AR18" s="19"/>
      <c r="AS18" s="19"/>
      <c r="AT18" s="19"/>
      <c r="AU18" s="19"/>
      <c r="AV18" s="19"/>
      <c r="AW18" s="19"/>
      <c r="AX18" s="19"/>
    </row>
    <row r="19" spans="1:50" ht="12" customHeight="1">
      <c r="A19" s="195" t="s">
        <v>311</v>
      </c>
      <c r="B19" s="196">
        <f>IF(C19&lt;&gt;0,AG19*TA!G145*C19,AG19*TA!G145)</f>
        <v>0</v>
      </c>
      <c r="C19" s="409"/>
      <c r="D19" s="186"/>
      <c r="E19" s="169"/>
      <c r="F19" s="226" t="s">
        <v>303</v>
      </c>
      <c r="G19" s="216"/>
      <c r="H19" s="230"/>
      <c r="I19" s="145"/>
      <c r="J19" s="891"/>
      <c r="K19" s="145"/>
      <c r="L19" s="873" t="s">
        <v>106</v>
      </c>
      <c r="M19" s="875" t="s">
        <v>0</v>
      </c>
      <c r="N19" s="878" t="s">
        <v>1</v>
      </c>
      <c r="O19" s="848" t="s">
        <v>12</v>
      </c>
      <c r="P19" s="850" t="s">
        <v>13</v>
      </c>
      <c r="Q19" s="852" t="s">
        <v>14</v>
      </c>
      <c r="R19" s="850" t="s">
        <v>15</v>
      </c>
      <c r="S19" s="850" t="s">
        <v>16</v>
      </c>
      <c r="T19" s="850" t="s">
        <v>17</v>
      </c>
      <c r="U19" s="850" t="s">
        <v>18</v>
      </c>
      <c r="V19" s="870" t="s">
        <v>19</v>
      </c>
      <c r="W19" s="850" t="s">
        <v>20</v>
      </c>
      <c r="X19" s="868" t="s">
        <v>30</v>
      </c>
      <c r="Y19" s="860" t="s">
        <v>114</v>
      </c>
      <c r="Z19" s="861"/>
      <c r="AA19" s="861"/>
      <c r="AB19" s="861"/>
      <c r="AC19" s="861"/>
      <c r="AD19" s="862"/>
      <c r="AE19" s="19"/>
      <c r="AF19" s="708">
        <f t="shared" si="0"/>
        <v>0</v>
      </c>
      <c r="AG19" s="705" t="b">
        <v>0</v>
      </c>
      <c r="AH19" s="707"/>
      <c r="AI19" s="145"/>
      <c r="AJ19" s="148"/>
      <c r="AK19" s="106"/>
      <c r="AL19" s="147"/>
      <c r="AM19" s="147"/>
      <c r="AN19" s="106"/>
      <c r="AS19" s="19"/>
      <c r="AT19" s="19"/>
      <c r="AU19" s="19"/>
      <c r="AV19" s="19"/>
      <c r="AW19" s="19"/>
      <c r="AX19" s="19"/>
    </row>
    <row r="20" spans="1:50" ht="12" customHeight="1">
      <c r="A20" s="195" t="s">
        <v>312</v>
      </c>
      <c r="B20" s="196">
        <f>IF(C20&lt;&gt;0,AG20*TA!G146*C20,AG20*TA!G146)</f>
        <v>0</v>
      </c>
      <c r="C20" s="409"/>
      <c r="D20" s="186"/>
      <c r="E20" s="169"/>
      <c r="F20" s="226" t="s">
        <v>254</v>
      </c>
      <c r="G20" s="168">
        <v>0.5</v>
      </c>
      <c r="H20" s="230"/>
      <c r="I20" s="143"/>
      <c r="J20" s="891"/>
      <c r="K20" s="143"/>
      <c r="L20" s="873"/>
      <c r="M20" s="876"/>
      <c r="N20" s="878"/>
      <c r="O20" s="848"/>
      <c r="P20" s="850"/>
      <c r="Q20" s="852"/>
      <c r="R20" s="850"/>
      <c r="S20" s="850"/>
      <c r="T20" s="850"/>
      <c r="U20" s="850"/>
      <c r="V20" s="871"/>
      <c r="W20" s="850"/>
      <c r="X20" s="868"/>
      <c r="Y20" s="863"/>
      <c r="Z20" s="864"/>
      <c r="AA20" s="864"/>
      <c r="AB20" s="864"/>
      <c r="AC20" s="864"/>
      <c r="AD20" s="865"/>
      <c r="AE20" s="723"/>
      <c r="AF20" s="708">
        <f t="shared" si="0"/>
        <v>0</v>
      </c>
      <c r="AG20" s="705" t="b">
        <v>0</v>
      </c>
      <c r="AH20" s="707"/>
      <c r="AI20" s="145"/>
      <c r="AJ20" s="148"/>
      <c r="AK20" s="106"/>
      <c r="AL20" s="147"/>
      <c r="AM20" s="147"/>
      <c r="AN20" s="106"/>
      <c r="AS20" s="19"/>
      <c r="AT20" s="723"/>
      <c r="AU20" s="723"/>
      <c r="AV20" s="19"/>
      <c r="AW20" s="19"/>
      <c r="AX20" s="19"/>
    </row>
    <row r="21" spans="1:50" ht="12" customHeight="1">
      <c r="A21" s="195" t="s">
        <v>313</v>
      </c>
      <c r="B21" s="196">
        <f>IF(C21&lt;&gt;0,AG21*TA!G147*C21,AG21*TA!G147)</f>
        <v>0</v>
      </c>
      <c r="C21" s="409"/>
      <c r="D21" s="186"/>
      <c r="E21" s="169"/>
      <c r="F21" s="226" t="str">
        <f>" ("&amp;TA!G141&amp;" * "&amp;TA!G142&amp;") * "&amp;B13&amp;" * "&amp;C12&amp;" * "&amp;G20&amp;"     = "</f>
        <v> (0,1 * 0,02) * 0 * 0 * 0,5     = </v>
      </c>
      <c r="G21" s="233"/>
      <c r="H21" s="475">
        <f>(TA!G141+TA!G142)*AK27*G20*AG25</f>
        <v>0</v>
      </c>
      <c r="I21" s="145"/>
      <c r="J21" s="891"/>
      <c r="K21" s="145"/>
      <c r="L21" s="873"/>
      <c r="M21" s="876"/>
      <c r="N21" s="878"/>
      <c r="O21" s="848"/>
      <c r="P21" s="850"/>
      <c r="Q21" s="852"/>
      <c r="R21" s="850"/>
      <c r="S21" s="850"/>
      <c r="T21" s="850"/>
      <c r="U21" s="850"/>
      <c r="V21" s="871"/>
      <c r="W21" s="850"/>
      <c r="X21" s="868"/>
      <c r="Y21" s="723"/>
      <c r="Z21" s="723"/>
      <c r="AA21" s="723"/>
      <c r="AB21" s="723"/>
      <c r="AC21" s="723"/>
      <c r="AD21" s="729"/>
      <c r="AE21" s="723"/>
      <c r="AF21" s="708">
        <f t="shared" si="0"/>
        <v>0</v>
      </c>
      <c r="AG21" s="705" t="b">
        <v>0</v>
      </c>
      <c r="AH21" s="707"/>
      <c r="AI21" s="142"/>
      <c r="AJ21" s="142"/>
      <c r="AK21" s="19"/>
      <c r="AL21" s="147"/>
      <c r="AM21" s="147"/>
      <c r="AN21" s="106"/>
      <c r="AS21" s="19"/>
      <c r="AT21" s="723"/>
      <c r="AU21" s="723"/>
      <c r="AV21" s="19"/>
      <c r="AW21" s="19"/>
      <c r="AX21" s="19"/>
    </row>
    <row r="22" spans="1:50" ht="12" customHeight="1">
      <c r="A22" s="197" t="s">
        <v>314</v>
      </c>
      <c r="B22" s="196">
        <f>IF(C22&lt;&gt;0,AG22*TA!G148*C22,AG22*TA!G148)</f>
        <v>0</v>
      </c>
      <c r="C22" s="800"/>
      <c r="D22" s="33"/>
      <c r="E22" s="19"/>
      <c r="F22" s="226" t="s">
        <v>304</v>
      </c>
      <c r="G22" s="234"/>
      <c r="H22" s="235"/>
      <c r="I22" s="142"/>
      <c r="J22" s="891"/>
      <c r="K22" s="142"/>
      <c r="L22" s="873"/>
      <c r="M22" s="876"/>
      <c r="N22" s="878"/>
      <c r="O22" s="848"/>
      <c r="P22" s="850"/>
      <c r="Q22" s="852"/>
      <c r="R22" s="850"/>
      <c r="S22" s="850"/>
      <c r="T22" s="850"/>
      <c r="U22" s="850"/>
      <c r="V22" s="871"/>
      <c r="W22" s="850"/>
      <c r="X22" s="868"/>
      <c r="Y22" s="677"/>
      <c r="Z22" s="718" t="s">
        <v>105</v>
      </c>
      <c r="AA22" s="677"/>
      <c r="AB22" s="677"/>
      <c r="AC22" s="677"/>
      <c r="AD22" s="730"/>
      <c r="AE22" s="677"/>
      <c r="AF22" s="708">
        <f t="shared" si="0"/>
        <v>0</v>
      </c>
      <c r="AG22" s="705" t="b">
        <v>0</v>
      </c>
      <c r="AH22" s="707"/>
      <c r="AI22" s="682"/>
      <c r="AJ22" s="683"/>
      <c r="AK22" s="683"/>
      <c r="AL22" s="684"/>
      <c r="AM22" s="684"/>
      <c r="AN22" s="683"/>
      <c r="AS22" s="19"/>
      <c r="AT22" s="19"/>
      <c r="AU22" s="19"/>
      <c r="AV22" s="19"/>
      <c r="AW22" s="19"/>
      <c r="AX22" s="19"/>
    </row>
    <row r="23" spans="1:50" ht="12" customHeight="1" thickBot="1">
      <c r="A23" s="197" t="s">
        <v>315</v>
      </c>
      <c r="B23" s="196">
        <f>IF(C23&lt;&gt;0,AG23*TA!G149*C23,AG23*TA!G149)</f>
        <v>0</v>
      </c>
      <c r="C23" s="801"/>
      <c r="D23" s="18"/>
      <c r="E23" s="16"/>
      <c r="F23" s="226" t="s">
        <v>370</v>
      </c>
      <c r="G23" s="236"/>
      <c r="H23" s="237"/>
      <c r="I23" s="145"/>
      <c r="J23" s="891"/>
      <c r="K23" s="145"/>
      <c r="L23" s="873"/>
      <c r="M23" s="876"/>
      <c r="N23" s="878"/>
      <c r="O23" s="848"/>
      <c r="P23" s="850"/>
      <c r="Q23" s="852"/>
      <c r="R23" s="850"/>
      <c r="S23" s="850"/>
      <c r="T23" s="850"/>
      <c r="U23" s="850"/>
      <c r="V23" s="871"/>
      <c r="W23" s="850"/>
      <c r="X23" s="868"/>
      <c r="Y23" s="677"/>
      <c r="Z23" s="677"/>
      <c r="AA23" s="677"/>
      <c r="AB23" s="677"/>
      <c r="AC23" s="677"/>
      <c r="AD23" s="730"/>
      <c r="AE23" s="677"/>
      <c r="AF23" s="708">
        <f t="shared" si="0"/>
        <v>0</v>
      </c>
      <c r="AG23" s="705" t="b">
        <v>0</v>
      </c>
      <c r="AH23" s="707"/>
      <c r="AI23" s="685"/>
      <c r="AJ23" s="279" t="s">
        <v>110</v>
      </c>
      <c r="AK23" s="513"/>
      <c r="AL23" s="704"/>
      <c r="AM23" s="704"/>
      <c r="AN23" s="479"/>
      <c r="AS23" s="19"/>
      <c r="AT23" s="19"/>
      <c r="AU23" s="19"/>
      <c r="AV23" s="19"/>
      <c r="AW23" s="19"/>
      <c r="AX23" s="19"/>
    </row>
    <row r="24" spans="1:50" ht="12" customHeight="1" thickBot="1">
      <c r="A24" s="198" t="s">
        <v>349</v>
      </c>
      <c r="B24" s="199">
        <f>AG24*(IF(SUM(B15:B23)&gt;=0.8,(1-SUM(B15:B23)),(SUM(B15:B23)*0.25)))</f>
        <v>0</v>
      </c>
      <c r="C24" s="668"/>
      <c r="D24" s="18"/>
      <c r="E24" s="16"/>
      <c r="F24" s="655" t="s">
        <v>371</v>
      </c>
      <c r="G24" s="181">
        <v>1</v>
      </c>
      <c r="H24" s="238"/>
      <c r="I24" s="182"/>
      <c r="J24" s="891"/>
      <c r="K24" s="182"/>
      <c r="L24" s="873"/>
      <c r="M24" s="876"/>
      <c r="N24" s="878"/>
      <c r="O24" s="848"/>
      <c r="P24" s="850"/>
      <c r="Q24" s="852"/>
      <c r="R24" s="850"/>
      <c r="S24" s="850"/>
      <c r="T24" s="850"/>
      <c r="U24" s="850"/>
      <c r="V24" s="871"/>
      <c r="W24" s="850"/>
      <c r="X24" s="868"/>
      <c r="Y24" s="19"/>
      <c r="Z24" s="19"/>
      <c r="AA24" s="866" t="s">
        <v>3</v>
      </c>
      <c r="AB24" s="712"/>
      <c r="AC24" s="772" t="s">
        <v>103</v>
      </c>
      <c r="AD24" s="713">
        <v>100000</v>
      </c>
      <c r="AE24" s="19"/>
      <c r="AF24" s="708">
        <f t="shared" si="0"/>
        <v>0</v>
      </c>
      <c r="AG24" s="705" t="b">
        <v>0</v>
      </c>
      <c r="AH24" s="707"/>
      <c r="AI24" s="686" t="s">
        <v>88</v>
      </c>
      <c r="AJ24" s="687" t="s">
        <v>89</v>
      </c>
      <c r="AK24" s="479"/>
      <c r="AL24" s="478"/>
      <c r="AM24" s="478"/>
      <c r="AN24" s="479"/>
      <c r="AS24" s="19"/>
      <c r="AT24" s="19"/>
      <c r="AU24" s="19"/>
      <c r="AV24" s="19"/>
      <c r="AW24" s="19"/>
      <c r="AX24" s="19"/>
    </row>
    <row r="25" spans="1:50" ht="12" customHeight="1" thickBot="1" thickTop="1">
      <c r="A25" s="198" t="s">
        <v>318</v>
      </c>
      <c r="B25" s="200">
        <f>SUM(B15:B24)</f>
        <v>0</v>
      </c>
      <c r="C25" s="177"/>
      <c r="D25" s="26"/>
      <c r="E25" s="29"/>
      <c r="F25" s="655" t="str">
        <f>" ("&amp;B15&amp;" + "&amp;B17&amp;" + "&amp;B21&amp;") * "&amp;B13&amp;" * "&amp;C12&amp;" * "&amp;G24&amp;"     = "</f>
        <v> (0 + 0 + 0) * 0 * 0 * 1     = </v>
      </c>
      <c r="G25" s="239"/>
      <c r="H25" s="477">
        <f>(B15+B17+B21)*AK27*G24*AG28</f>
        <v>0</v>
      </c>
      <c r="I25" s="142"/>
      <c r="J25" s="891"/>
      <c r="K25" s="142"/>
      <c r="L25" s="873"/>
      <c r="M25" s="876"/>
      <c r="N25" s="878"/>
      <c r="O25" s="848"/>
      <c r="P25" s="850"/>
      <c r="Q25" s="852"/>
      <c r="R25" s="850"/>
      <c r="S25" s="850"/>
      <c r="T25" s="850"/>
      <c r="U25" s="850"/>
      <c r="V25" s="871"/>
      <c r="W25" s="850"/>
      <c r="X25" s="868"/>
      <c r="Y25" s="672"/>
      <c r="Z25" s="19"/>
      <c r="AA25" s="867"/>
      <c r="AB25" s="774"/>
      <c r="AC25" s="773" t="s">
        <v>137</v>
      </c>
      <c r="AD25" s="738">
        <v>10.101577326</v>
      </c>
      <c r="AE25" s="19"/>
      <c r="AF25" s="708"/>
      <c r="AG25" s="705" t="b">
        <v>0</v>
      </c>
      <c r="AH25" s="707"/>
      <c r="AI25" s="688"/>
      <c r="AJ25" s="689"/>
      <c r="AK25" s="480"/>
      <c r="AL25" s="478"/>
      <c r="AM25" s="478"/>
      <c r="AN25" s="479"/>
      <c r="AS25" s="19"/>
      <c r="AT25" s="19"/>
      <c r="AU25" s="19"/>
      <c r="AV25" s="19"/>
      <c r="AW25" s="19"/>
      <c r="AX25" s="19"/>
    </row>
    <row r="26" spans="1:50" ht="12" customHeight="1" thickBot="1" thickTop="1">
      <c r="A26" s="495" t="s">
        <v>164</v>
      </c>
      <c r="B26" s="888">
        <f>IF(C12&lt;=AJ28,AK26,AI26+AJ26)*AH64</f>
        <v>0</v>
      </c>
      <c r="C26" s="888"/>
      <c r="D26" s="26"/>
      <c r="E26" s="29"/>
      <c r="F26" s="484"/>
      <c r="G26" s="884">
        <f>SUM(H12:H25)</f>
        <v>0</v>
      </c>
      <c r="H26" s="885"/>
      <c r="I26" s="145"/>
      <c r="J26" s="891"/>
      <c r="K26" s="145"/>
      <c r="L26" s="874"/>
      <c r="M26" s="877"/>
      <c r="N26" s="879"/>
      <c r="O26" s="849"/>
      <c r="P26" s="851"/>
      <c r="Q26" s="853"/>
      <c r="R26" s="851"/>
      <c r="S26" s="851"/>
      <c r="T26" s="851"/>
      <c r="U26" s="851"/>
      <c r="V26" s="872"/>
      <c r="W26" s="851"/>
      <c r="X26" s="869"/>
      <c r="Y26" s="758" t="s">
        <v>101</v>
      </c>
      <c r="Z26" s="759" t="s">
        <v>244</v>
      </c>
      <c r="AA26" s="679"/>
      <c r="AB26" s="673" t="s">
        <v>102</v>
      </c>
      <c r="AC26" s="727"/>
      <c r="AD26" s="731"/>
      <c r="AE26" s="727"/>
      <c r="AF26" s="708"/>
      <c r="AG26" s="705"/>
      <c r="AH26" s="707"/>
      <c r="AI26" s="796">
        <f>AJ28*B13*B25/100</f>
        <v>0</v>
      </c>
      <c r="AJ26" s="795">
        <f>(C12-AJ28)*TA!C149*B25/100</f>
        <v>0</v>
      </c>
      <c r="AK26" s="797">
        <f>C12*B13*B25/100</f>
        <v>0</v>
      </c>
      <c r="AL26" s="691"/>
      <c r="AM26" s="692" t="s">
        <v>84</v>
      </c>
      <c r="AN26" s="479"/>
      <c r="AS26" s="19"/>
      <c r="AT26" s="19"/>
      <c r="AU26" s="19"/>
      <c r="AV26" s="19"/>
      <c r="AW26" s="19"/>
      <c r="AX26" s="19"/>
    </row>
    <row r="27" spans="1:50" ht="12" customHeight="1">
      <c r="A27" s="651" t="s">
        <v>81</v>
      </c>
      <c r="B27" s="491"/>
      <c r="C27" s="492">
        <v>0</v>
      </c>
      <c r="D27" s="272"/>
      <c r="E27" s="29"/>
      <c r="F27" s="481" t="s">
        <v>160</v>
      </c>
      <c r="G27" s="784" t="s">
        <v>126</v>
      </c>
      <c r="H27" s="890" t="s">
        <v>31</v>
      </c>
      <c r="J27" s="891"/>
      <c r="L27" s="732" t="s">
        <v>94</v>
      </c>
      <c r="M27" s="743" t="s">
        <v>95</v>
      </c>
      <c r="N27" s="747" t="s">
        <v>96</v>
      </c>
      <c r="O27" s="753" t="s">
        <v>141</v>
      </c>
      <c r="P27" s="739" t="s">
        <v>98</v>
      </c>
      <c r="Q27" s="742" t="s">
        <v>4</v>
      </c>
      <c r="R27" s="742" t="s">
        <v>5</v>
      </c>
      <c r="S27" s="742" t="s">
        <v>6</v>
      </c>
      <c r="T27" s="742" t="s">
        <v>7</v>
      </c>
      <c r="U27" s="742" t="s">
        <v>8</v>
      </c>
      <c r="V27" s="742" t="s">
        <v>9</v>
      </c>
      <c r="W27" s="742" t="s">
        <v>10</v>
      </c>
      <c r="X27" s="754" t="s">
        <v>11</v>
      </c>
      <c r="Y27" s="669" t="s">
        <v>100</v>
      </c>
      <c r="Z27" s="669" t="s">
        <v>22</v>
      </c>
      <c r="AA27" s="673" t="s">
        <v>97</v>
      </c>
      <c r="AB27" s="671" t="s">
        <v>99</v>
      </c>
      <c r="AC27" s="728"/>
      <c r="AD27" s="733"/>
      <c r="AE27" s="728"/>
      <c r="AF27" s="708"/>
      <c r="AG27" s="705"/>
      <c r="AH27" s="707"/>
      <c r="AI27" s="794">
        <f>AJ28*B13*1/100</f>
        <v>0</v>
      </c>
      <c r="AJ27" s="794">
        <f>(C12-AJ28)*TA!C149*1/100</f>
        <v>0</v>
      </c>
      <c r="AK27" s="798">
        <f>IF(C12&lt;=AJ28,C12*B13/100,AI27+AJ27)</f>
        <v>0</v>
      </c>
      <c r="AL27" s="479"/>
      <c r="AM27" s="799" t="s">
        <v>39</v>
      </c>
      <c r="AN27" s="479"/>
      <c r="AS27" s="19"/>
      <c r="AT27" s="19"/>
      <c r="AU27" s="19"/>
      <c r="AV27" s="19"/>
      <c r="AW27" s="19"/>
      <c r="AX27" s="19"/>
    </row>
    <row r="28" spans="1:50" ht="12" customHeight="1" thickBot="1">
      <c r="A28" s="215" t="s">
        <v>162</v>
      </c>
      <c r="B28" s="502">
        <f>TA!C153</f>
        <v>0.23984189235999998</v>
      </c>
      <c r="C28" s="228"/>
      <c r="D28" s="26"/>
      <c r="E28" s="274"/>
      <c r="F28" s="339" t="s">
        <v>161</v>
      </c>
      <c r="G28" s="788" t="s">
        <v>2</v>
      </c>
      <c r="H28" s="834"/>
      <c r="J28" s="892"/>
      <c r="L28" s="744">
        <v>0.15</v>
      </c>
      <c r="M28" s="745">
        <v>0.25</v>
      </c>
      <c r="N28" s="748">
        <v>0.15</v>
      </c>
      <c r="O28" s="744">
        <v>0.05</v>
      </c>
      <c r="P28" s="746">
        <v>0.05</v>
      </c>
      <c r="Q28" s="746">
        <v>0.05</v>
      </c>
      <c r="R28" s="746">
        <v>0.05</v>
      </c>
      <c r="S28" s="746">
        <v>0.05</v>
      </c>
      <c r="T28" s="746">
        <v>0.05</v>
      </c>
      <c r="U28" s="746">
        <v>0.05</v>
      </c>
      <c r="V28" s="746">
        <v>0.05</v>
      </c>
      <c r="W28" s="746">
        <v>0.05</v>
      </c>
      <c r="X28" s="755">
        <v>0.05</v>
      </c>
      <c r="Y28" s="725"/>
      <c r="Z28" s="725"/>
      <c r="AA28" s="760" t="s">
        <v>25</v>
      </c>
      <c r="AB28" s="760" t="s">
        <v>26</v>
      </c>
      <c r="AC28" s="142"/>
      <c r="AD28" s="716" t="s">
        <v>104</v>
      </c>
      <c r="AE28" s="727"/>
      <c r="AF28" s="708"/>
      <c r="AG28" s="705" t="b">
        <v>0</v>
      </c>
      <c r="AH28" s="707"/>
      <c r="AI28" s="688"/>
      <c r="AJ28" s="605">
        <v>2582284.49544743</v>
      </c>
      <c r="AK28" s="479"/>
      <c r="AL28" s="479"/>
      <c r="AM28" s="693"/>
      <c r="AN28" s="479"/>
      <c r="AS28" s="19"/>
      <c r="AT28" s="19"/>
      <c r="AU28" s="19"/>
      <c r="AV28" s="19"/>
      <c r="AW28" s="19"/>
      <c r="AX28" s="19"/>
    </row>
    <row r="29" spans="1:50" ht="12" customHeight="1" thickBot="1">
      <c r="A29" s="215" t="s">
        <v>85</v>
      </c>
      <c r="B29" s="436">
        <f>SUM(B15:B20)</f>
        <v>0</v>
      </c>
      <c r="C29" s="503">
        <f>IF(C12&lt;=AJ28,AK29,AI29+AJ29)</f>
        <v>0</v>
      </c>
      <c r="D29" s="105"/>
      <c r="E29" s="114"/>
      <c r="F29" s="226" t="s">
        <v>93</v>
      </c>
      <c r="G29" s="724">
        <f>0.02*AH53</f>
        <v>0</v>
      </c>
      <c r="H29" s="722">
        <f>AB29-G29</f>
        <v>0</v>
      </c>
      <c r="I29" s="779"/>
      <c r="J29" s="792"/>
      <c r="K29" s="145"/>
      <c r="L29" s="785"/>
      <c r="M29" s="786"/>
      <c r="N29" s="749">
        <v>0</v>
      </c>
      <c r="O29" s="756">
        <v>0</v>
      </c>
      <c r="P29" s="756">
        <v>0</v>
      </c>
      <c r="Q29" s="756">
        <v>0</v>
      </c>
      <c r="R29" s="756">
        <v>0</v>
      </c>
      <c r="S29" s="756">
        <v>0</v>
      </c>
      <c r="T29" s="756">
        <v>0</v>
      </c>
      <c r="U29" s="756">
        <v>0</v>
      </c>
      <c r="V29" s="756">
        <v>0</v>
      </c>
      <c r="W29" s="756">
        <v>0</v>
      </c>
      <c r="X29" s="756">
        <v>0</v>
      </c>
      <c r="Y29" s="670">
        <f>L29+M29+N29</f>
        <v>0</v>
      </c>
      <c r="Z29" s="670">
        <f>SUM(O29:X29)</f>
        <v>0</v>
      </c>
      <c r="AA29" s="680">
        <f>G29+(Y29*G29)</f>
        <v>0</v>
      </c>
      <c r="AB29" s="757">
        <f>AA29*(1+Z29)</f>
        <v>0</v>
      </c>
      <c r="AC29" s="761"/>
      <c r="AD29" s="717">
        <f>AB29*AD$24*AD$25/100</f>
        <v>0</v>
      </c>
      <c r="AF29" s="708">
        <f>D29</f>
        <v>0</v>
      </c>
      <c r="AG29" s="705" t="b">
        <v>0</v>
      </c>
      <c r="AH29" s="710"/>
      <c r="AI29" s="690">
        <f>B13*B29*(AJ28)/100</f>
        <v>0</v>
      </c>
      <c r="AJ29" s="691">
        <f>TA!C149*B29*(C27-AJ28)/100</f>
        <v>0</v>
      </c>
      <c r="AK29" s="691">
        <f>B13*B29*C27/100</f>
        <v>0</v>
      </c>
      <c r="AL29" s="694" t="s">
        <v>77</v>
      </c>
      <c r="AM29" s="692" t="s">
        <v>107</v>
      </c>
      <c r="AN29" s="479"/>
      <c r="AS29" s="19"/>
      <c r="AT29" s="19"/>
      <c r="AU29" s="19"/>
      <c r="AV29" s="19"/>
      <c r="AW29" s="19"/>
      <c r="AX29" s="19"/>
    </row>
    <row r="30" spans="1:50" ht="12" customHeight="1" thickBot="1" thickTop="1">
      <c r="A30" s="215" t="s">
        <v>86</v>
      </c>
      <c r="B30" s="436">
        <f>1.25*B29</f>
        <v>0</v>
      </c>
      <c r="C30" s="503">
        <f>IF((C12-C27)&lt;=AJ28,AK30*AH60,(AI30+AJ30))</f>
        <v>0</v>
      </c>
      <c r="D30" s="26"/>
      <c r="E30" s="29"/>
      <c r="F30" s="215" t="s">
        <v>128</v>
      </c>
      <c r="G30" s="724">
        <f>0.0325*AH54+(0.65*J30)</f>
        <v>0</v>
      </c>
      <c r="H30" s="722">
        <f>(AB30-G30)*AH54</f>
        <v>0</v>
      </c>
      <c r="I30" s="779"/>
      <c r="J30" s="775">
        <v>0</v>
      </c>
      <c r="K30" s="142"/>
      <c r="L30" s="785"/>
      <c r="M30" s="786"/>
      <c r="N30" s="749">
        <v>0</v>
      </c>
      <c r="O30" s="756">
        <v>0</v>
      </c>
      <c r="P30" s="756">
        <v>0</v>
      </c>
      <c r="Q30" s="756">
        <v>0</v>
      </c>
      <c r="R30" s="756">
        <v>0</v>
      </c>
      <c r="S30" s="756">
        <v>0</v>
      </c>
      <c r="T30" s="756">
        <v>0</v>
      </c>
      <c r="U30" s="756">
        <v>0</v>
      </c>
      <c r="V30" s="756">
        <v>0</v>
      </c>
      <c r="W30" s="756">
        <v>0</v>
      </c>
      <c r="X30" s="756">
        <v>0</v>
      </c>
      <c r="Y30" s="670">
        <f>L30+M30+N30</f>
        <v>0</v>
      </c>
      <c r="Z30" s="670">
        <f>SUM(O30:X30)</f>
        <v>0</v>
      </c>
      <c r="AA30" s="680">
        <f>G30+(Y30*G30)</f>
        <v>0</v>
      </c>
      <c r="AB30" s="757">
        <f>AA30*(1+Z30)</f>
        <v>0</v>
      </c>
      <c r="AC30" s="761"/>
      <c r="AD30" s="717">
        <f>AB30*AD$24*AD$25/100</f>
        <v>0</v>
      </c>
      <c r="AF30" s="708"/>
      <c r="AG30" s="705"/>
      <c r="AH30" s="710"/>
      <c r="AI30" s="690">
        <f>B13*B30*(AJ28)/100</f>
        <v>0</v>
      </c>
      <c r="AJ30" s="691">
        <f>TA!C149*B30*((C12-C27)-AJ28)/100</f>
        <v>0</v>
      </c>
      <c r="AK30" s="691">
        <f>B13*(C12-C27)*B30/100</f>
        <v>0</v>
      </c>
      <c r="AL30" s="694" t="s">
        <v>78</v>
      </c>
      <c r="AM30" s="692" t="s">
        <v>108</v>
      </c>
      <c r="AN30" s="479"/>
      <c r="AS30" s="19"/>
      <c r="AT30" s="19"/>
      <c r="AU30" s="19"/>
      <c r="AV30" s="19"/>
      <c r="AW30" s="19"/>
      <c r="AX30" s="19"/>
    </row>
    <row r="31" spans="1:50" ht="12" customHeight="1" thickBot="1" thickTop="1">
      <c r="A31" s="215" t="s">
        <v>87</v>
      </c>
      <c r="B31" s="224">
        <f>TA!I147</f>
        <v>0.35000000000000003</v>
      </c>
      <c r="C31" s="503">
        <f>IF((C27)&lt;=AJ28,AK31,AI31+AJ31)</f>
        <v>0</v>
      </c>
      <c r="D31" s="26"/>
      <c r="E31" s="29"/>
      <c r="F31" s="215" t="s">
        <v>129</v>
      </c>
      <c r="G31" s="724">
        <f>0.0175*AH55+(1*J31)</f>
        <v>0</v>
      </c>
      <c r="H31" s="722">
        <f>(AB31-G31)*AH55</f>
        <v>0</v>
      </c>
      <c r="I31" s="780"/>
      <c r="J31" s="775">
        <v>0</v>
      </c>
      <c r="K31" s="142"/>
      <c r="L31" s="785"/>
      <c r="M31" s="786"/>
      <c r="N31" s="749">
        <v>0</v>
      </c>
      <c r="O31" s="756">
        <v>0</v>
      </c>
      <c r="P31" s="756">
        <v>0</v>
      </c>
      <c r="Q31" s="756">
        <v>0</v>
      </c>
      <c r="R31" s="756">
        <v>0</v>
      </c>
      <c r="S31" s="756">
        <v>0</v>
      </c>
      <c r="T31" s="756">
        <v>0</v>
      </c>
      <c r="U31" s="756">
        <v>0</v>
      </c>
      <c r="V31" s="756">
        <v>0</v>
      </c>
      <c r="W31" s="756">
        <v>0</v>
      </c>
      <c r="X31" s="756">
        <v>0</v>
      </c>
      <c r="Y31" s="670">
        <f>L31+M31+N31</f>
        <v>0</v>
      </c>
      <c r="Z31" s="670">
        <f>SUM(O31:X31)</f>
        <v>0</v>
      </c>
      <c r="AA31" s="680">
        <f>G31+(Y31*G31)</f>
        <v>0</v>
      </c>
      <c r="AB31" s="757">
        <f>AA31*(1+Z31)</f>
        <v>0</v>
      </c>
      <c r="AC31" s="761"/>
      <c r="AD31" s="717">
        <f>AB31*AD$24*AD$25/100</f>
        <v>0</v>
      </c>
      <c r="AF31" s="708"/>
      <c r="AG31" s="705"/>
      <c r="AH31" s="710"/>
      <c r="AI31" s="690">
        <f>B31*B28*AJ28/100</f>
        <v>2167.689999999998</v>
      </c>
      <c r="AJ31" s="691">
        <f>B31*TA!C149*(C27-AJ28)/100</f>
        <v>0</v>
      </c>
      <c r="AK31" s="691">
        <f>B31*B28*C27/100</f>
        <v>0</v>
      </c>
      <c r="AL31" s="695" t="s">
        <v>76</v>
      </c>
      <c r="AM31" s="692" t="s">
        <v>109</v>
      </c>
      <c r="AN31" s="479"/>
      <c r="AS31" s="19"/>
      <c r="AT31" s="19"/>
      <c r="AU31" s="19"/>
      <c r="AV31" s="19"/>
      <c r="AW31" s="19"/>
      <c r="AX31" s="19"/>
    </row>
    <row r="32" spans="1:50" ht="12" customHeight="1" thickBot="1" thickTop="1">
      <c r="A32" s="652" t="s">
        <v>164</v>
      </c>
      <c r="B32" s="266"/>
      <c r="C32" s="504">
        <f>SUM(C29:C31)*AH60</f>
        <v>0</v>
      </c>
      <c r="D32" s="187"/>
      <c r="E32" s="115"/>
      <c r="F32" s="215" t="s">
        <v>130</v>
      </c>
      <c r="G32" s="724">
        <f>0.15*AH56+((B18+B19+B20)*J32)</f>
        <v>0</v>
      </c>
      <c r="H32" s="722">
        <f>(AB32-G32)*AH56</f>
        <v>0</v>
      </c>
      <c r="I32" s="780"/>
      <c r="J32" s="775">
        <v>0</v>
      </c>
      <c r="K32" s="142"/>
      <c r="L32" s="734">
        <v>0</v>
      </c>
      <c r="M32" s="786"/>
      <c r="N32" s="749">
        <v>0</v>
      </c>
      <c r="O32" s="756">
        <v>0</v>
      </c>
      <c r="P32" s="756">
        <v>0</v>
      </c>
      <c r="Q32" s="756">
        <v>0</v>
      </c>
      <c r="R32" s="756">
        <v>0</v>
      </c>
      <c r="S32" s="756">
        <v>0</v>
      </c>
      <c r="T32" s="756">
        <v>0</v>
      </c>
      <c r="U32" s="756">
        <v>0</v>
      </c>
      <c r="V32" s="756">
        <v>0</v>
      </c>
      <c r="W32" s="756">
        <v>0</v>
      </c>
      <c r="X32" s="756">
        <v>0</v>
      </c>
      <c r="Y32" s="670">
        <f>L32+M32+N32</f>
        <v>0</v>
      </c>
      <c r="Z32" s="670">
        <f>SUM(O32:X32)</f>
        <v>0</v>
      </c>
      <c r="AA32" s="680">
        <f>G32+(Y32*G32)</f>
        <v>0</v>
      </c>
      <c r="AB32" s="757">
        <f>AA32*(1+Z32)</f>
        <v>0</v>
      </c>
      <c r="AC32" s="761"/>
      <c r="AD32" s="717">
        <f>AB32*AD$24*AD$25/100</f>
        <v>0</v>
      </c>
      <c r="AF32" s="708">
        <f>D31</f>
        <v>0</v>
      </c>
      <c r="AG32" s="705" t="b">
        <v>0</v>
      </c>
      <c r="AH32" s="710"/>
      <c r="AI32" s="688"/>
      <c r="AJ32" s="696"/>
      <c r="AK32" s="697">
        <f>AI29+AJ29</f>
        <v>0</v>
      </c>
      <c r="AL32" s="478"/>
      <c r="AM32" s="478"/>
      <c r="AN32" s="479"/>
      <c r="AS32" s="19"/>
      <c r="AT32" s="19"/>
      <c r="AU32" s="19"/>
      <c r="AV32" s="19"/>
      <c r="AW32" s="19"/>
      <c r="AX32" s="19"/>
    </row>
    <row r="33" spans="1:50" ht="12" customHeight="1" thickBot="1" thickTop="1">
      <c r="A33" s="893"/>
      <c r="B33" s="894"/>
      <c r="C33" s="895"/>
      <c r="D33" s="26"/>
      <c r="E33" s="29"/>
      <c r="F33" s="268" t="s">
        <v>144</v>
      </c>
      <c r="G33" s="777">
        <f>0.25*AH57+((B21+B22)*J33)</f>
        <v>0</v>
      </c>
      <c r="H33" s="722">
        <f>(AB33-G33)*AH57</f>
        <v>0</v>
      </c>
      <c r="I33" s="780"/>
      <c r="J33" s="775">
        <v>0</v>
      </c>
      <c r="K33" s="142"/>
      <c r="L33" s="750">
        <v>0</v>
      </c>
      <c r="M33" s="751">
        <v>0</v>
      </c>
      <c r="N33" s="752">
        <v>0</v>
      </c>
      <c r="O33" s="756">
        <v>0</v>
      </c>
      <c r="P33" s="756">
        <v>0</v>
      </c>
      <c r="Q33" s="756">
        <v>0</v>
      </c>
      <c r="R33" s="756">
        <v>0</v>
      </c>
      <c r="S33" s="756">
        <v>0</v>
      </c>
      <c r="T33" s="756">
        <v>0</v>
      </c>
      <c r="U33" s="756">
        <v>0</v>
      </c>
      <c r="V33" s="756">
        <v>0</v>
      </c>
      <c r="W33" s="756">
        <v>0</v>
      </c>
      <c r="X33" s="756">
        <v>0</v>
      </c>
      <c r="Y33" s="670">
        <f>L33+M33+N33</f>
        <v>0</v>
      </c>
      <c r="Z33" s="670">
        <f>SUM(O33:X33)</f>
        <v>0</v>
      </c>
      <c r="AA33" s="680">
        <f>G33+(Y33*G33)</f>
        <v>0</v>
      </c>
      <c r="AB33" s="757">
        <f>AA33*(1+Z33)</f>
        <v>0</v>
      </c>
      <c r="AC33" s="761"/>
      <c r="AD33" s="717">
        <f>AB33*AD$24*AD$25/100</f>
        <v>0</v>
      </c>
      <c r="AF33" s="708"/>
      <c r="AG33" s="705"/>
      <c r="AH33" s="710"/>
      <c r="AI33" s="688"/>
      <c r="AJ33" s="696"/>
      <c r="AK33" s="697">
        <f>AI30+AJ30</f>
        <v>0</v>
      </c>
      <c r="AL33" s="478"/>
      <c r="AM33" s="478"/>
      <c r="AN33" s="479"/>
      <c r="AS33" s="19"/>
      <c r="AT33" s="19"/>
      <c r="AU33" s="19"/>
      <c r="AV33" s="19"/>
      <c r="AW33" s="19"/>
      <c r="AX33" s="19"/>
    </row>
    <row r="34" spans="1:50" ht="12" customHeight="1" thickBot="1">
      <c r="A34" s="201" t="s">
        <v>245</v>
      </c>
      <c r="B34" s="202"/>
      <c r="C34" s="203"/>
      <c r="D34" s="38"/>
      <c r="E34" s="19"/>
      <c r="F34" s="490" t="s">
        <v>131</v>
      </c>
      <c r="G34" s="726">
        <f>SUM(G29:H33)</f>
        <v>0</v>
      </c>
      <c r="H34" s="343"/>
      <c r="L34" s="854" t="s">
        <v>24</v>
      </c>
      <c r="M34" s="855"/>
      <c r="N34" s="855"/>
      <c r="O34" s="855"/>
      <c r="P34" s="855"/>
      <c r="Q34" s="855"/>
      <c r="R34" s="855"/>
      <c r="S34" s="855"/>
      <c r="T34" s="855"/>
      <c r="U34" s="855"/>
      <c r="V34" s="855"/>
      <c r="W34" s="855"/>
      <c r="X34" s="856"/>
      <c r="Y34" s="19"/>
      <c r="Z34" s="19"/>
      <c r="AA34" s="674"/>
      <c r="AB34" s="721">
        <f>SUM(AB29:AB33)</f>
        <v>0</v>
      </c>
      <c r="AC34" s="762"/>
      <c r="AD34" s="715"/>
      <c r="AE34" s="675"/>
      <c r="AF34" s="708">
        <f>D33</f>
        <v>0</v>
      </c>
      <c r="AG34" s="705" t="b">
        <v>0</v>
      </c>
      <c r="AH34" s="608"/>
      <c r="AI34" s="688"/>
      <c r="AJ34" s="696"/>
      <c r="AK34" s="697">
        <f>AI31+AJ31</f>
        <v>2167.689999999998</v>
      </c>
      <c r="AL34" s="478"/>
      <c r="AM34" s="478"/>
      <c r="AN34" s="479"/>
      <c r="AS34" s="19"/>
      <c r="AT34" s="19"/>
      <c r="AU34" s="19"/>
      <c r="AV34" s="19"/>
      <c r="AW34" s="19"/>
      <c r="AX34" s="19"/>
    </row>
    <row r="35" spans="1:50" ht="12" customHeight="1" thickBot="1" thickTop="1">
      <c r="A35" s="204" t="str">
        <f>"              "&amp;(TA!G143+TA!G144+TA!G146)&amp;" x "&amp;C12&amp;" x "&amp;B13&amp;"   x"</f>
        <v>              0,38 x 0 x 0   x</v>
      </c>
      <c r="B35" s="203" t="s">
        <v>301</v>
      </c>
      <c r="C35" s="392">
        <f>AG29*(TA!G143+TA!G144+TA!G146)*B13*C12/100*0.25</f>
        <v>0</v>
      </c>
      <c r="D35" s="26"/>
      <c r="E35" s="29"/>
      <c r="F35" s="488" t="s">
        <v>122</v>
      </c>
      <c r="G35" s="818">
        <f>AK27*G34</f>
        <v>0</v>
      </c>
      <c r="H35" s="835"/>
      <c r="I35" s="142"/>
      <c r="J35" s="142"/>
      <c r="K35" s="142"/>
      <c r="L35" s="857"/>
      <c r="M35" s="858"/>
      <c r="N35" s="858"/>
      <c r="O35" s="858"/>
      <c r="P35" s="858"/>
      <c r="Q35" s="858"/>
      <c r="R35" s="858"/>
      <c r="S35" s="858"/>
      <c r="T35" s="858"/>
      <c r="U35" s="858"/>
      <c r="V35" s="858"/>
      <c r="W35" s="858"/>
      <c r="X35" s="859"/>
      <c r="Y35" s="735"/>
      <c r="Z35" s="735"/>
      <c r="AA35" s="736"/>
      <c r="AB35" s="672"/>
      <c r="AC35" s="672"/>
      <c r="AD35" s="737">
        <f>SUM(AD29:AD33)</f>
        <v>0</v>
      </c>
      <c r="AE35" s="676"/>
      <c r="AF35" s="708"/>
      <c r="AG35" s="705"/>
      <c r="AH35" s="608"/>
      <c r="AI35" s="688"/>
      <c r="AJ35" s="696"/>
      <c r="AK35" s="479"/>
      <c r="AL35" s="478"/>
      <c r="AM35" s="478"/>
      <c r="AN35" s="479"/>
      <c r="AS35" s="19"/>
      <c r="AT35" s="19"/>
      <c r="AU35" s="19"/>
      <c r="AV35" s="19"/>
      <c r="AW35" s="19"/>
      <c r="AX35" s="19"/>
    </row>
    <row r="36" spans="1:50" ht="12" customHeight="1">
      <c r="A36" s="205" t="s">
        <v>178</v>
      </c>
      <c r="B36" s="203"/>
      <c r="C36" s="410"/>
      <c r="D36" s="188"/>
      <c r="E36" s="254"/>
      <c r="F36" s="31"/>
      <c r="G36" s="493"/>
      <c r="H36" s="489"/>
      <c r="I36" s="142"/>
      <c r="J36" s="142"/>
      <c r="K36" s="142"/>
      <c r="L36" s="142"/>
      <c r="M36" s="142"/>
      <c r="N36" s="142"/>
      <c r="O36" s="142"/>
      <c r="P36" s="245"/>
      <c r="Q36" s="245"/>
      <c r="R36" s="245"/>
      <c r="S36" s="245"/>
      <c r="T36" s="245"/>
      <c r="U36" s="245"/>
      <c r="V36" s="245"/>
      <c r="W36" s="245"/>
      <c r="X36" s="245"/>
      <c r="Y36" s="142"/>
      <c r="Z36" s="142"/>
      <c r="AA36" s="142"/>
      <c r="AC36" s="19"/>
      <c r="AD36" s="19"/>
      <c r="AE36" s="721"/>
      <c r="AF36" s="708"/>
      <c r="AG36" s="705"/>
      <c r="AH36" s="608"/>
      <c r="AI36" s="698"/>
      <c r="AJ36" s="699" t="s">
        <v>148</v>
      </c>
      <c r="AK36" s="479"/>
      <c r="AL36" s="478"/>
      <c r="AM36" s="478"/>
      <c r="AN36" s="479"/>
      <c r="AS36" s="19"/>
      <c r="AT36" s="19"/>
      <c r="AU36" s="19"/>
      <c r="AV36" s="19"/>
      <c r="AW36" s="19"/>
      <c r="AX36" s="19"/>
    </row>
    <row r="37" spans="1:50" ht="12" customHeight="1">
      <c r="A37" s="198" t="str">
        <f>"         "&amp;(TA!G143+TA!G144+TA!G145+TA!G146)&amp;"   x   "&amp;C12&amp;" x "&amp;B13&amp;"   x"</f>
        <v>         0,53   x   0 x 0   x</v>
      </c>
      <c r="B37" s="203" t="s">
        <v>299</v>
      </c>
      <c r="C37" s="196">
        <f>((TA!G143+TA!G144+TA!G145+TA!G146)*0.15)*B13*C12/100*AG32</f>
        <v>0</v>
      </c>
      <c r="D37" s="18"/>
      <c r="E37" s="16"/>
      <c r="F37" s="221" t="s">
        <v>372</v>
      </c>
      <c r="G37" s="225"/>
      <c r="H37" s="240"/>
      <c r="I37" s="116"/>
      <c r="J37" s="116"/>
      <c r="K37" s="116"/>
      <c r="L37" s="116"/>
      <c r="M37" s="116"/>
      <c r="N37" s="116"/>
      <c r="O37" s="116"/>
      <c r="P37" s="245"/>
      <c r="Q37" s="245"/>
      <c r="R37" s="245"/>
      <c r="S37" s="245"/>
      <c r="T37" s="245"/>
      <c r="U37" s="245"/>
      <c r="V37" s="245"/>
      <c r="W37" s="245"/>
      <c r="X37" s="245"/>
      <c r="Y37" s="19"/>
      <c r="Z37" s="19"/>
      <c r="AA37" s="19"/>
      <c r="AB37" s="19"/>
      <c r="AC37" s="19"/>
      <c r="AD37" s="19"/>
      <c r="AE37" s="19"/>
      <c r="AF37" s="708"/>
      <c r="AG37" s="705"/>
      <c r="AH37" s="608"/>
      <c r="AI37" s="700"/>
      <c r="AJ37" s="701"/>
      <c r="AK37" s="702"/>
      <c r="AL37" s="703"/>
      <c r="AM37" s="703"/>
      <c r="AN37" s="702"/>
      <c r="AS37" s="19"/>
      <c r="AT37" s="19"/>
      <c r="AU37" s="19"/>
      <c r="AV37" s="19"/>
      <c r="AW37" s="19"/>
      <c r="AX37" s="19"/>
    </row>
    <row r="38" spans="1:50" ht="12" customHeight="1">
      <c r="A38" s="207" t="s">
        <v>179</v>
      </c>
      <c r="B38" s="203"/>
      <c r="C38" s="410"/>
      <c r="D38" s="18"/>
      <c r="E38" s="16"/>
      <c r="F38" s="226" t="s">
        <v>352</v>
      </c>
      <c r="G38" s="216"/>
      <c r="H38" s="240"/>
      <c r="P38" s="142"/>
      <c r="Q38" s="142"/>
      <c r="R38" s="142"/>
      <c r="S38" s="142"/>
      <c r="T38" s="142"/>
      <c r="U38" s="142"/>
      <c r="V38" s="142"/>
      <c r="W38" s="142"/>
      <c r="X38" s="142"/>
      <c r="Y38" s="19"/>
      <c r="Z38" s="19"/>
      <c r="AA38" s="19"/>
      <c r="AB38" s="778"/>
      <c r="AC38" s="19"/>
      <c r="AD38" s="19"/>
      <c r="AE38" s="19"/>
      <c r="AF38" s="708"/>
      <c r="AG38" s="705"/>
      <c r="AH38" s="608"/>
      <c r="AI38" s="145"/>
      <c r="AJ38" s="148"/>
      <c r="AK38" s="19"/>
      <c r="AL38" s="433"/>
      <c r="AM38" s="147"/>
      <c r="AS38" s="19"/>
      <c r="AT38" s="19"/>
      <c r="AU38" s="19"/>
      <c r="AV38" s="19"/>
      <c r="AW38" s="19"/>
      <c r="AX38" s="19"/>
    </row>
    <row r="39" spans="1:50" ht="12" customHeight="1" thickBot="1">
      <c r="A39" s="208" t="str">
        <f>"         "&amp;TA!G147&amp;"   x   "&amp;C12&amp;" x "&amp;B13&amp;"   x"</f>
        <v>         0,25   x   0 x 0   x</v>
      </c>
      <c r="B39" s="209" t="s">
        <v>300</v>
      </c>
      <c r="C39" s="411">
        <f>((TA!G147)*0.1)*B13*C12/100*AG34</f>
        <v>0</v>
      </c>
      <c r="D39" s="30"/>
      <c r="E39" s="116"/>
      <c r="F39" s="210" t="s">
        <v>353</v>
      </c>
      <c r="G39" s="216">
        <f>TA!C141</f>
        <v>0.030661</v>
      </c>
      <c r="H39" s="476">
        <f>C12*G39*AH49</f>
        <v>0</v>
      </c>
      <c r="I39" s="117"/>
      <c r="J39" s="117"/>
      <c r="K39" s="117"/>
      <c r="L39" s="117"/>
      <c r="M39" s="117"/>
      <c r="N39" s="117"/>
      <c r="O39" s="117"/>
      <c r="P39" s="142"/>
      <c r="Q39" s="142"/>
      <c r="R39" s="142"/>
      <c r="S39" s="142"/>
      <c r="T39" s="142"/>
      <c r="U39" s="142"/>
      <c r="V39" s="142"/>
      <c r="W39" s="142"/>
      <c r="X39" s="142"/>
      <c r="Y39" s="142"/>
      <c r="Z39" s="142"/>
      <c r="AA39" s="142"/>
      <c r="AB39" s="142"/>
      <c r="AC39" s="142"/>
      <c r="AD39" s="142"/>
      <c r="AE39" s="142"/>
      <c r="AF39" s="708"/>
      <c r="AG39" s="705"/>
      <c r="AH39" s="608"/>
      <c r="AI39" s="145"/>
      <c r="AJ39" s="142"/>
      <c r="AK39" s="19"/>
      <c r="AL39" s="147"/>
      <c r="AM39" s="147"/>
      <c r="AN39" s="19"/>
      <c r="AO39" s="106"/>
      <c r="AP39" s="19"/>
      <c r="AQ39" s="19"/>
      <c r="AR39" s="19"/>
      <c r="AS39" s="19"/>
      <c r="AT39" s="19"/>
      <c r="AU39" s="19"/>
      <c r="AV39" s="19"/>
      <c r="AW39" s="19"/>
      <c r="AX39" s="19"/>
    </row>
    <row r="40" spans="1:50" ht="12" customHeight="1" thickBot="1" thickTop="1">
      <c r="A40" s="483"/>
      <c r="B40" s="888">
        <f>SUM(C34:C39)</f>
        <v>0</v>
      </c>
      <c r="C40" s="888"/>
      <c r="D40" s="27"/>
      <c r="E40" s="113"/>
      <c r="F40" s="226" t="s">
        <v>253</v>
      </c>
      <c r="G40" s="424">
        <v>-0.2</v>
      </c>
      <c r="H40" s="494">
        <f>H39*G40</f>
        <v>0</v>
      </c>
      <c r="I40" s="118"/>
      <c r="J40" s="118"/>
      <c r="K40" s="118"/>
      <c r="L40" s="118"/>
      <c r="M40" s="118"/>
      <c r="N40" s="118"/>
      <c r="O40" s="118"/>
      <c r="P40" s="142"/>
      <c r="Q40" s="142"/>
      <c r="R40" s="142"/>
      <c r="S40" s="142"/>
      <c r="T40" s="142"/>
      <c r="U40" s="142"/>
      <c r="V40" s="142"/>
      <c r="W40" s="142"/>
      <c r="X40" s="142"/>
      <c r="Y40" s="142"/>
      <c r="Z40" s="142"/>
      <c r="AA40" s="142"/>
      <c r="AB40" s="142"/>
      <c r="AC40" s="142"/>
      <c r="AD40" s="142"/>
      <c r="AE40" s="142"/>
      <c r="AF40" s="708"/>
      <c r="AG40" s="705"/>
      <c r="AH40" s="608"/>
      <c r="AI40" s="145"/>
      <c r="AJ40" s="142"/>
      <c r="AK40" s="19"/>
      <c r="AL40" s="147"/>
      <c r="AM40" s="147"/>
      <c r="AN40" s="19"/>
      <c r="AO40" s="106"/>
      <c r="AP40" s="19"/>
      <c r="AQ40" s="19"/>
      <c r="AR40" s="19"/>
      <c r="AS40" s="19"/>
      <c r="AT40" s="19"/>
      <c r="AU40" s="19"/>
      <c r="AV40" s="19"/>
      <c r="AW40" s="19"/>
      <c r="AX40" s="19"/>
    </row>
    <row r="41" spans="1:47" ht="12" customHeight="1">
      <c r="A41" s="214" t="s">
        <v>322</v>
      </c>
      <c r="B41" s="826">
        <f>C12</f>
        <v>0</v>
      </c>
      <c r="C41" s="826"/>
      <c r="D41" s="27"/>
      <c r="E41" s="113"/>
      <c r="F41" s="227" t="str">
        <f>B12&amp;" * "&amp;G39&amp;"  "&amp;H40&amp;"    = "</f>
        <v>Ic * 0,030661  0    = </v>
      </c>
      <c r="G41" s="824">
        <f>(H39+H40)*AH49</f>
        <v>0</v>
      </c>
      <c r="H41" s="889"/>
      <c r="I41" s="116"/>
      <c r="J41" s="116"/>
      <c r="K41" s="116"/>
      <c r="L41" s="116"/>
      <c r="M41" s="116"/>
      <c r="N41" s="142"/>
      <c r="Q41" s="142"/>
      <c r="R41" s="142"/>
      <c r="S41" s="142"/>
      <c r="T41" s="142"/>
      <c r="U41" s="142"/>
      <c r="V41" s="142"/>
      <c r="W41" s="142"/>
      <c r="X41" s="142"/>
      <c r="Y41" s="142"/>
      <c r="Z41" s="142"/>
      <c r="AA41" s="142"/>
      <c r="AB41" s="142"/>
      <c r="AC41" s="142"/>
      <c r="AD41" s="142"/>
      <c r="AE41" s="142"/>
      <c r="AF41" s="708"/>
      <c r="AG41" s="705"/>
      <c r="AH41" s="608"/>
      <c r="AI41" s="145"/>
      <c r="AJ41" s="142"/>
      <c r="AK41" s="19"/>
      <c r="AL41" s="147"/>
      <c r="AM41" s="147"/>
      <c r="AN41" s="150"/>
      <c r="AO41" s="106"/>
      <c r="AP41" s="19"/>
      <c r="AQ41" s="19"/>
      <c r="AR41" s="19"/>
      <c r="AS41" s="19"/>
      <c r="AT41" s="19"/>
      <c r="AU41" s="19"/>
    </row>
    <row r="42" spans="1:45" ht="16.5" customHeight="1">
      <c r="A42" s="215" t="s">
        <v>323</v>
      </c>
      <c r="B42" s="216"/>
      <c r="C42" s="216"/>
      <c r="D42" s="27"/>
      <c r="E42" s="113"/>
      <c r="F42" s="656" t="s">
        <v>28</v>
      </c>
      <c r="G42" s="618" t="s">
        <v>143</v>
      </c>
      <c r="H42" s="619">
        <f>('Strutture&amp;impianti'!G34*AH50)+('Appalti Distinti'!G34*AH51)</f>
        <v>0</v>
      </c>
      <c r="K42" s="711" t="s">
        <v>79</v>
      </c>
      <c r="L42" s="719"/>
      <c r="M42" s="720" t="s">
        <v>32</v>
      </c>
      <c r="N42" s="710"/>
      <c r="O42" s="710"/>
      <c r="AF42" s="708"/>
      <c r="AG42" s="705"/>
      <c r="AH42" s="608"/>
      <c r="AI42" s="145"/>
      <c r="AJ42" s="142"/>
      <c r="AK42" s="19"/>
      <c r="AL42" s="147"/>
      <c r="AM42" s="147"/>
      <c r="AO42" s="106"/>
      <c r="AP42" s="19"/>
      <c r="AQ42" s="19"/>
      <c r="AR42" s="19"/>
      <c r="AS42" s="19"/>
    </row>
    <row r="43" spans="1:45" ht="18" customHeight="1" thickBot="1">
      <c r="A43" s="215" t="s">
        <v>150</v>
      </c>
      <c r="B43" s="216">
        <v>1.8397</v>
      </c>
      <c r="C43" s="196">
        <f>TA!E141/1936.27</f>
        <v>0</v>
      </c>
      <c r="D43" s="30"/>
      <c r="E43" s="116"/>
      <c r="F43" s="657" t="s">
        <v>243</v>
      </c>
      <c r="G43" s="580" t="s">
        <v>143</v>
      </c>
      <c r="H43" s="581">
        <f>B26+B40+B53+C58+G41+G26+G35+C32+H42</f>
        <v>0</v>
      </c>
      <c r="N43" s="150"/>
      <c r="Q43" s="150"/>
      <c r="R43" s="150"/>
      <c r="S43" s="150"/>
      <c r="T43" s="150"/>
      <c r="U43" s="150"/>
      <c r="V43" s="150"/>
      <c r="W43" s="150"/>
      <c r="X43" s="150"/>
      <c r="Y43" s="150"/>
      <c r="Z43" s="150"/>
      <c r="AA43" s="150"/>
      <c r="AB43" s="150"/>
      <c r="AC43" s="150"/>
      <c r="AD43" s="150"/>
      <c r="AE43" s="150"/>
      <c r="AF43" s="708"/>
      <c r="AG43" s="705"/>
      <c r="AH43" s="608"/>
      <c r="AI43" s="145"/>
      <c r="AJ43" s="142"/>
      <c r="AK43" s="19"/>
      <c r="AL43" s="147"/>
      <c r="AM43" s="147"/>
      <c r="AO43" s="106"/>
      <c r="AP43" s="19"/>
      <c r="AQ43" s="19"/>
      <c r="AR43" s="19"/>
      <c r="AS43" s="19"/>
    </row>
    <row r="44" spans="1:45" ht="12" customHeight="1" thickTop="1">
      <c r="A44" s="215" t="s">
        <v>151</v>
      </c>
      <c r="B44" s="216">
        <v>1.6863</v>
      </c>
      <c r="C44" s="196">
        <f>TA!E142/1936.27</f>
        <v>0</v>
      </c>
      <c r="D44" s="30"/>
      <c r="E44" s="116"/>
      <c r="F44" s="658" t="s">
        <v>319</v>
      </c>
      <c r="G44" s="248"/>
      <c r="H44" s="249"/>
      <c r="I44" s="116"/>
      <c r="J44" s="116"/>
      <c r="K44" s="116"/>
      <c r="L44" s="116"/>
      <c r="M44" s="116"/>
      <c r="N44" s="150"/>
      <c r="Q44" s="150"/>
      <c r="R44" s="150"/>
      <c r="S44" s="150"/>
      <c r="T44" s="150"/>
      <c r="U44" s="150"/>
      <c r="V44" s="150"/>
      <c r="W44" s="150"/>
      <c r="X44" s="150"/>
      <c r="Y44" s="150"/>
      <c r="Z44" s="150"/>
      <c r="AA44" s="150"/>
      <c r="AB44" s="150"/>
      <c r="AC44" s="150"/>
      <c r="AD44" s="150"/>
      <c r="AE44" s="150"/>
      <c r="AF44" s="708"/>
      <c r="AG44" s="705"/>
      <c r="AH44" s="608"/>
      <c r="AI44" s="145"/>
      <c r="AJ44" s="142"/>
      <c r="AK44" s="19"/>
      <c r="AL44" s="19"/>
      <c r="AM44" s="19"/>
      <c r="AO44" s="106"/>
      <c r="AP44" s="19"/>
      <c r="AQ44" s="19"/>
      <c r="AR44" s="19"/>
      <c r="AS44" s="19"/>
    </row>
    <row r="45" spans="1:45" ht="12" customHeight="1">
      <c r="A45" s="215" t="s">
        <v>152</v>
      </c>
      <c r="B45" s="216">
        <v>1.533</v>
      </c>
      <c r="C45" s="196">
        <f>TA!E143/1936.27</f>
        <v>0</v>
      </c>
      <c r="D45" s="30"/>
      <c r="E45" s="116"/>
      <c r="F45" s="659" t="s">
        <v>320</v>
      </c>
      <c r="G45" s="250"/>
      <c r="H45" s="251"/>
      <c r="I45" s="116"/>
      <c r="J45" s="116"/>
      <c r="K45" s="116"/>
      <c r="L45" s="116"/>
      <c r="M45" s="116"/>
      <c r="N45" s="150"/>
      <c r="Q45" s="150"/>
      <c r="R45" s="150"/>
      <c r="S45" s="150"/>
      <c r="T45" s="150"/>
      <c r="U45" s="150"/>
      <c r="V45" s="150"/>
      <c r="W45" s="150"/>
      <c r="X45" s="150"/>
      <c r="Y45" s="150"/>
      <c r="Z45" s="150"/>
      <c r="AA45" s="150"/>
      <c r="AB45" s="150"/>
      <c r="AC45" s="150"/>
      <c r="AD45" s="150"/>
      <c r="AE45" s="150"/>
      <c r="AF45" s="708">
        <f>D45</f>
        <v>0</v>
      </c>
      <c r="AG45" s="705" t="b">
        <v>1</v>
      </c>
      <c r="AH45" s="608"/>
      <c r="AI45" s="145"/>
      <c r="AJ45" s="142"/>
      <c r="AK45" s="19"/>
      <c r="AL45" s="19"/>
      <c r="AM45" s="19"/>
      <c r="AO45" s="106"/>
      <c r="AP45" s="19"/>
      <c r="AQ45" s="19"/>
      <c r="AR45" s="19"/>
      <c r="AS45" s="19"/>
    </row>
    <row r="46" spans="1:45" ht="12" customHeight="1" thickBot="1">
      <c r="A46" s="215" t="s">
        <v>153</v>
      </c>
      <c r="B46" s="216">
        <v>1.2264</v>
      </c>
      <c r="C46" s="196">
        <f>TA!E144/1936.27</f>
        <v>0</v>
      </c>
      <c r="D46" s="30"/>
      <c r="E46" s="116"/>
      <c r="F46" s="660" t="s">
        <v>321</v>
      </c>
      <c r="G46" s="276">
        <v>0.3</v>
      </c>
      <c r="H46" s="277"/>
      <c r="I46" s="113"/>
      <c r="J46" s="113"/>
      <c r="K46" s="113"/>
      <c r="L46" s="113"/>
      <c r="M46" s="113"/>
      <c r="N46" s="150"/>
      <c r="Q46" s="150"/>
      <c r="R46" s="150"/>
      <c r="S46" s="150"/>
      <c r="T46" s="150"/>
      <c r="U46" s="150"/>
      <c r="V46" s="150"/>
      <c r="W46" s="150"/>
      <c r="X46" s="150"/>
      <c r="Y46" s="150"/>
      <c r="Z46" s="150"/>
      <c r="AA46" s="150"/>
      <c r="AB46" s="150"/>
      <c r="AC46" s="150"/>
      <c r="AD46" s="150"/>
      <c r="AE46" s="150"/>
      <c r="AF46" s="708"/>
      <c r="AG46" s="705"/>
      <c r="AH46" s="608"/>
      <c r="AI46" s="145"/>
      <c r="AJ46" s="142"/>
      <c r="AK46" s="19"/>
      <c r="AL46" s="19"/>
      <c r="AM46" s="19"/>
      <c r="AO46" s="106"/>
      <c r="AP46" s="19"/>
      <c r="AQ46" s="19"/>
      <c r="AR46" s="19"/>
      <c r="AS46" s="19"/>
    </row>
    <row r="47" spans="1:45" ht="12" customHeight="1" thickBot="1" thickTop="1">
      <c r="A47" s="215" t="s">
        <v>154</v>
      </c>
      <c r="B47" s="217">
        <v>1.0731</v>
      </c>
      <c r="C47" s="199">
        <f>TA!E145/1936.27</f>
        <v>0</v>
      </c>
      <c r="D47" s="30"/>
      <c r="E47" s="116"/>
      <c r="F47" s="661" t="str">
        <f>"misura dello "&amp;G46&amp;" su "&amp;H43</f>
        <v>misura dello 0,3 su 0</v>
      </c>
      <c r="G47" s="412" t="s">
        <v>143</v>
      </c>
      <c r="H47" s="396">
        <f>H43*G46</f>
        <v>0</v>
      </c>
      <c r="I47" s="113"/>
      <c r="J47" s="113"/>
      <c r="K47" s="113"/>
      <c r="L47" s="113"/>
      <c r="M47" s="113"/>
      <c r="N47" s="150"/>
      <c r="Q47" s="150"/>
      <c r="R47" s="150"/>
      <c r="S47" s="150"/>
      <c r="T47" s="150"/>
      <c r="U47" s="150"/>
      <c r="V47" s="150"/>
      <c r="W47" s="150"/>
      <c r="X47" s="150"/>
      <c r="Y47" s="150"/>
      <c r="Z47" s="150"/>
      <c r="AA47" s="150"/>
      <c r="AB47" s="150"/>
      <c r="AC47" s="150"/>
      <c r="AD47" s="150"/>
      <c r="AE47" s="150"/>
      <c r="AF47" s="708">
        <f>D47</f>
        <v>0</v>
      </c>
      <c r="AG47" s="705" t="b">
        <v>0</v>
      </c>
      <c r="AH47" s="608"/>
      <c r="AI47" s="143"/>
      <c r="AJ47" s="142"/>
      <c r="AK47" s="19"/>
      <c r="AL47" s="19"/>
      <c r="AM47" s="19"/>
      <c r="AO47" s="144"/>
      <c r="AP47" s="19"/>
      <c r="AQ47" s="19"/>
      <c r="AR47" s="19"/>
      <c r="AS47" s="19"/>
    </row>
    <row r="48" spans="1:45" ht="12" customHeight="1" thickTop="1">
      <c r="A48" s="215" t="s">
        <v>350</v>
      </c>
      <c r="B48" s="216"/>
      <c r="C48" s="196">
        <f>SUM(C43:C47)</f>
        <v>0</v>
      </c>
      <c r="D48" s="30"/>
      <c r="E48" s="116"/>
      <c r="F48" s="789" t="s">
        <v>193</v>
      </c>
      <c r="G48" s="179"/>
      <c r="H48" s="397"/>
      <c r="I48" s="113"/>
      <c r="J48" s="113"/>
      <c r="K48" s="113"/>
      <c r="L48" s="113"/>
      <c r="M48" s="113"/>
      <c r="N48" s="150"/>
      <c r="Q48" s="150"/>
      <c r="R48" s="150"/>
      <c r="S48" s="150"/>
      <c r="T48" s="150"/>
      <c r="U48" s="150"/>
      <c r="V48" s="150"/>
      <c r="W48" s="150"/>
      <c r="X48" s="150"/>
      <c r="Y48" s="150"/>
      <c r="Z48" s="150"/>
      <c r="AA48" s="150"/>
      <c r="AB48" s="150"/>
      <c r="AC48" s="150"/>
      <c r="AD48" s="150"/>
      <c r="AE48" s="150"/>
      <c r="AF48" s="708">
        <f>D48</f>
        <v>0</v>
      </c>
      <c r="AG48" s="705" t="b">
        <v>0</v>
      </c>
      <c r="AH48" s="608"/>
      <c r="AI48" s="145"/>
      <c r="AJ48" s="142"/>
      <c r="AK48" s="19"/>
      <c r="AL48" s="19"/>
      <c r="AM48" s="19"/>
      <c r="AO48" s="106"/>
      <c r="AP48" s="19"/>
      <c r="AQ48" s="19"/>
      <c r="AR48" s="19"/>
      <c r="AS48" s="19"/>
    </row>
    <row r="49" spans="1:45" ht="12.75" customHeight="1">
      <c r="A49" s="219" t="s">
        <v>373</v>
      </c>
      <c r="B49" s="216"/>
      <c r="C49" s="216"/>
      <c r="D49" s="30"/>
      <c r="E49" s="116"/>
      <c r="F49" s="789" t="s">
        <v>29</v>
      </c>
      <c r="G49" s="413" t="s">
        <v>143</v>
      </c>
      <c r="H49" s="397">
        <f>((B13*C12/100*(TA!G143+TA!G143*0.25)*K49)+(B13*C12/100*(TA!G143+TA!G143*0.25)*K49)*G46)*AH63</f>
        <v>0</v>
      </c>
      <c r="K49" s="601">
        <v>0.5</v>
      </c>
      <c r="L49" s="434" t="s">
        <v>155</v>
      </c>
      <c r="N49" s="150"/>
      <c r="Q49" s="150"/>
      <c r="R49" s="150"/>
      <c r="S49" s="150"/>
      <c r="T49" s="150"/>
      <c r="U49" s="150"/>
      <c r="V49" s="150"/>
      <c r="W49" s="150"/>
      <c r="X49" s="150"/>
      <c r="Y49" s="150"/>
      <c r="Z49" s="150"/>
      <c r="AA49" s="150"/>
      <c r="AB49" s="150"/>
      <c r="AC49" s="150"/>
      <c r="AD49" s="150"/>
      <c r="AE49" s="150"/>
      <c r="AF49" s="708"/>
      <c r="AG49" s="705"/>
      <c r="AH49" s="708" t="b">
        <v>0</v>
      </c>
      <c r="AI49" s="145"/>
      <c r="AJ49" s="142"/>
      <c r="AK49" s="19"/>
      <c r="AL49" s="19"/>
      <c r="AM49" s="19"/>
      <c r="AO49" s="106"/>
      <c r="AP49" s="19"/>
      <c r="AQ49" s="19"/>
      <c r="AR49" s="19"/>
      <c r="AS49" s="19"/>
    </row>
    <row r="50" spans="1:45" ht="12.75" customHeight="1">
      <c r="A50" s="215" t="str">
        <f>C48&amp;"  x - 30%     = "</f>
        <v>0  x - 30%     = </v>
      </c>
      <c r="B50" s="216"/>
      <c r="C50" s="220">
        <f>IF(OR(B12="Ia",B12="Ib",B12="Ic",B12="Id",B12="If",B12="Ig"),0,C48*-0.3)</f>
        <v>0</v>
      </c>
      <c r="D50" s="267"/>
      <c r="E50" s="120"/>
      <c r="F50" s="789" t="s">
        <v>187</v>
      </c>
      <c r="I50" s="31"/>
      <c r="AF50" s="708"/>
      <c r="AG50" s="705"/>
      <c r="AH50" s="708" t="b">
        <v>0</v>
      </c>
      <c r="AI50" s="142"/>
      <c r="AJ50" s="142"/>
      <c r="AL50" s="19"/>
      <c r="AM50" s="19"/>
      <c r="AO50" s="106"/>
      <c r="AP50" s="19"/>
      <c r="AQ50" s="19"/>
      <c r="AR50" s="19"/>
      <c r="AS50" s="19"/>
    </row>
    <row r="51" spans="1:45" ht="12.75" customHeight="1">
      <c r="A51" s="219" t="s">
        <v>189</v>
      </c>
      <c r="B51" s="216"/>
      <c r="C51" s="206"/>
      <c r="D51" s="264"/>
      <c r="E51" s="263"/>
      <c r="F51" s="789" t="s">
        <v>188</v>
      </c>
      <c r="G51" s="413" t="s">
        <v>143</v>
      </c>
      <c r="H51" s="781">
        <f>((B13/100*C12*K51*(TA!G145+TA!G145*0.25))+(B13/100*C12*K51*(TA!G145+TA!G145*0.25))*G46)*AH62</f>
        <v>0</v>
      </c>
      <c r="I51" s="31"/>
      <c r="K51" s="603">
        <v>0.5</v>
      </c>
      <c r="L51" s="434" t="s">
        <v>155</v>
      </c>
      <c r="AF51" s="708"/>
      <c r="AG51" s="705"/>
      <c r="AH51" s="708" t="b">
        <v>0</v>
      </c>
      <c r="AI51" s="145"/>
      <c r="AJ51" s="142"/>
      <c r="AM51" s="19"/>
      <c r="AO51" s="106"/>
      <c r="AP51" s="19"/>
      <c r="AQ51" s="19"/>
      <c r="AR51" s="19"/>
      <c r="AS51" s="19"/>
    </row>
    <row r="52" spans="1:45" ht="12" customHeight="1" thickBot="1">
      <c r="A52" s="215" t="str">
        <f>C48&amp;"  x  "&amp;B52&amp;"     = "</f>
        <v>0  x  0,3     = </v>
      </c>
      <c r="B52" s="275">
        <v>0.3</v>
      </c>
      <c r="C52" s="218">
        <f>AG47*C48*B52</f>
        <v>0</v>
      </c>
      <c r="D52" s="264"/>
      <c r="E52" s="263"/>
      <c r="F52" s="790" t="s">
        <v>33</v>
      </c>
      <c r="G52" s="413" t="s">
        <v>143</v>
      </c>
      <c r="H52" s="782"/>
      <c r="I52" s="783"/>
      <c r="K52" s="602"/>
      <c r="L52" s="19"/>
      <c r="M52" s="425"/>
      <c r="AF52" s="708">
        <f>I46</f>
        <v>0</v>
      </c>
      <c r="AG52" s="705" t="b">
        <v>0</v>
      </c>
      <c r="AH52" s="708"/>
      <c r="AI52" s="145"/>
      <c r="AJ52" s="142"/>
      <c r="AM52" s="19"/>
      <c r="AO52" s="106"/>
      <c r="AP52" s="19"/>
      <c r="AQ52" s="19"/>
      <c r="AR52" s="19"/>
      <c r="AS52" s="19"/>
    </row>
    <row r="53" spans="1:45" ht="13.5" customHeight="1" thickTop="1">
      <c r="A53" s="214" t="s">
        <v>351</v>
      </c>
      <c r="B53" s="886">
        <f>(C48+C50+C52)*AG48</f>
        <v>0</v>
      </c>
      <c r="C53" s="886"/>
      <c r="D53" s="270"/>
      <c r="E53" s="263"/>
      <c r="F53" s="789" t="s">
        <v>34</v>
      </c>
      <c r="G53" s="413" t="s">
        <v>143</v>
      </c>
      <c r="I53" s="31"/>
      <c r="AF53" s="708"/>
      <c r="AG53" s="705"/>
      <c r="AH53" s="770" t="b">
        <v>0</v>
      </c>
      <c r="AI53" s="142"/>
      <c r="AJ53" s="142"/>
      <c r="AM53" s="19"/>
      <c r="AO53" s="106"/>
      <c r="AP53" s="19"/>
      <c r="AQ53" s="19"/>
      <c r="AR53" s="19"/>
      <c r="AS53" s="19"/>
    </row>
    <row r="54" spans="1:45" ht="11.25" customHeight="1" thickBot="1">
      <c r="A54" s="484"/>
      <c r="B54" s="482"/>
      <c r="C54" s="485"/>
      <c r="D54" s="264"/>
      <c r="E54" s="263"/>
      <c r="F54" s="789" t="s">
        <v>35</v>
      </c>
      <c r="G54" s="413" t="s">
        <v>143</v>
      </c>
      <c r="H54" s="397">
        <v>0</v>
      </c>
      <c r="I54" s="145"/>
      <c r="K54" s="586"/>
      <c r="L54" s="19"/>
      <c r="M54" s="145"/>
      <c r="AF54" s="708">
        <f>I48</f>
        <v>0</v>
      </c>
      <c r="AG54" s="705" t="b">
        <v>0</v>
      </c>
      <c r="AH54" s="770" t="b">
        <v>0</v>
      </c>
      <c r="AI54" s="145"/>
      <c r="AJ54" s="142"/>
      <c r="AL54" s="19"/>
      <c r="AM54" s="19"/>
      <c r="AO54" s="106"/>
      <c r="AP54" s="19"/>
      <c r="AQ54" s="19"/>
      <c r="AR54" s="19"/>
      <c r="AS54" s="19"/>
    </row>
    <row r="55" spans="1:45" ht="12.75" customHeight="1">
      <c r="A55" s="221" t="s">
        <v>27</v>
      </c>
      <c r="B55" s="216"/>
      <c r="C55" s="216"/>
      <c r="D55" s="264"/>
      <c r="E55" s="263"/>
      <c r="F55" s="662" t="str">
        <f>IF(H55&lt;&gt;0,"Sconto applicato sull'onorario base","  ")</f>
        <v>  </v>
      </c>
      <c r="G55" s="180" t="s">
        <v>143</v>
      </c>
      <c r="H55" s="414">
        <f>(-AH61*B26*K55)+(-AH61*C32*K55)</f>
        <v>0</v>
      </c>
      <c r="I55" s="145"/>
      <c r="K55" s="604">
        <v>0.2</v>
      </c>
      <c r="L55" s="434" t="s">
        <v>75</v>
      </c>
      <c r="M55" s="145"/>
      <c r="AF55" s="708"/>
      <c r="AG55" s="705" t="b">
        <v>0</v>
      </c>
      <c r="AH55" s="770" t="b">
        <v>0</v>
      </c>
      <c r="AI55" s="145"/>
      <c r="AJ55" s="142"/>
      <c r="AM55" s="19"/>
      <c r="AO55" s="106"/>
      <c r="AP55" s="19"/>
      <c r="AQ55" s="19"/>
      <c r="AR55" s="19"/>
      <c r="AS55" s="19"/>
    </row>
    <row r="56" spans="1:45" ht="12.75" customHeight="1">
      <c r="A56" s="439" t="s">
        <v>182</v>
      </c>
      <c r="B56" s="887">
        <v>0</v>
      </c>
      <c r="C56" s="887"/>
      <c r="D56" s="264"/>
      <c r="E56" s="263"/>
      <c r="F56" s="31"/>
      <c r="G56" s="19"/>
      <c r="H56" s="415"/>
      <c r="I56" s="145"/>
      <c r="K56" s="145"/>
      <c r="L56" s="150"/>
      <c r="M56" s="145"/>
      <c r="AF56" s="708"/>
      <c r="AG56" s="705"/>
      <c r="AH56" s="770" t="b">
        <v>0</v>
      </c>
      <c r="AI56" s="145"/>
      <c r="AJ56" s="142"/>
      <c r="AM56" s="19"/>
      <c r="AO56" s="106"/>
      <c r="AP56" s="19"/>
      <c r="AQ56" s="19"/>
      <c r="AR56" s="19"/>
      <c r="AS56" s="19"/>
    </row>
    <row r="57" spans="1:45" ht="12.75" customHeight="1" thickBot="1">
      <c r="A57" s="223" t="s">
        <v>183</v>
      </c>
      <c r="B57" s="216">
        <f>TA!C142</f>
        <v>4.911314016</v>
      </c>
      <c r="C57" s="217"/>
      <c r="D57" s="189"/>
      <c r="E57" s="179"/>
      <c r="F57" s="663" t="s">
        <v>185</v>
      </c>
      <c r="G57" s="880">
        <f>SUM(H43:H56)</f>
        <v>0</v>
      </c>
      <c r="H57" s="881"/>
      <c r="I57" s="145"/>
      <c r="K57" s="145"/>
      <c r="L57" s="150"/>
      <c r="M57" s="145"/>
      <c r="AF57" s="708"/>
      <c r="AG57" s="705"/>
      <c r="AH57" s="770" t="b">
        <v>0</v>
      </c>
      <c r="AI57" s="145"/>
      <c r="AJ57" s="142"/>
      <c r="AM57" s="19"/>
      <c r="AO57" s="106"/>
      <c r="AP57" s="19"/>
      <c r="AQ57" s="19"/>
      <c r="AR57" s="19"/>
      <c r="AS57" s="19"/>
    </row>
    <row r="58" spans="1:45" ht="12.75" customHeight="1" thickBot="1" thickTop="1">
      <c r="A58" s="484" t="str">
        <f>B56&amp;" * "&amp;B57&amp;" * "&amp;TA!G144&amp;" / 100   ="</f>
        <v>0 * 4,911314016 * 0,1 / 100   =</v>
      </c>
      <c r="B58" s="486"/>
      <c r="C58" s="487">
        <f>(B56*TA!C142*TA!G144)/100</f>
        <v>0</v>
      </c>
      <c r="D58" s="35"/>
      <c r="E58" s="297"/>
      <c r="F58" s="664" t="s">
        <v>186</v>
      </c>
      <c r="G58" s="882"/>
      <c r="H58" s="883"/>
      <c r="I58" s="145"/>
      <c r="K58" s="145"/>
      <c r="L58" s="150"/>
      <c r="M58" s="145"/>
      <c r="AF58" s="708"/>
      <c r="AG58" s="705"/>
      <c r="AH58" s="705"/>
      <c r="AI58" s="145"/>
      <c r="AJ58" s="142"/>
      <c r="AM58" s="19"/>
      <c r="AO58" s="106"/>
      <c r="AP58" s="19"/>
      <c r="AQ58" s="19"/>
      <c r="AR58" s="19"/>
      <c r="AS58" s="19"/>
    </row>
    <row r="59" spans="1:45" ht="6.75" customHeight="1">
      <c r="A59" s="582"/>
      <c r="B59" s="19"/>
      <c r="C59" s="19"/>
      <c r="D59" s="19"/>
      <c r="I59" s="145"/>
      <c r="K59" s="145"/>
      <c r="L59" s="150"/>
      <c r="M59" s="145"/>
      <c r="AF59" s="708"/>
      <c r="AG59" s="705"/>
      <c r="AH59" s="705"/>
      <c r="AI59" s="145"/>
      <c r="AJ59" s="142"/>
      <c r="AM59" s="19"/>
      <c r="AO59" s="106"/>
      <c r="AP59" s="19"/>
      <c r="AQ59" s="19"/>
      <c r="AR59" s="19"/>
      <c r="AS59" s="19"/>
    </row>
    <row r="60" spans="1:45" ht="12.75" customHeight="1">
      <c r="A60" s="462" t="s">
        <v>203</v>
      </c>
      <c r="B60" s="463"/>
      <c r="C60" s="463"/>
      <c r="D60" s="474"/>
      <c r="E60" s="474"/>
      <c r="F60" s="606"/>
      <c r="G60" s="469" t="s">
        <v>201</v>
      </c>
      <c r="H60" s="470"/>
      <c r="I60" s="145"/>
      <c r="K60" s="19" t="s">
        <v>111</v>
      </c>
      <c r="M60" s="145"/>
      <c r="AF60" s="708"/>
      <c r="AG60" s="705"/>
      <c r="AH60" s="608" t="b">
        <v>0</v>
      </c>
      <c r="AI60" s="145"/>
      <c r="AJ60" s="142"/>
      <c r="AM60" s="19"/>
      <c r="AP60" s="19"/>
      <c r="AQ60" s="19"/>
      <c r="AR60" s="19"/>
      <c r="AS60" s="19"/>
    </row>
    <row r="61" spans="1:45" ht="13.5" customHeight="1">
      <c r="A61" s="464" t="s">
        <v>204</v>
      </c>
      <c r="B61" s="451"/>
      <c r="C61" s="451"/>
      <c r="D61" s="452"/>
      <c r="E61" s="452"/>
      <c r="F61" s="607"/>
      <c r="G61" s="457" t="s">
        <v>202</v>
      </c>
      <c r="H61" s="471"/>
      <c r="I61" s="145"/>
      <c r="K61" s="19" t="s">
        <v>112</v>
      </c>
      <c r="M61" s="145"/>
      <c r="AF61" s="708"/>
      <c r="AG61" s="705" t="b">
        <v>1</v>
      </c>
      <c r="AH61" s="705" t="b">
        <v>0</v>
      </c>
      <c r="AI61" s="145"/>
      <c r="AJ61" s="142"/>
      <c r="AM61" s="19"/>
      <c r="AP61" s="19"/>
      <c r="AQ61" s="19"/>
      <c r="AR61" s="19"/>
      <c r="AS61" s="19"/>
    </row>
    <row r="62" spans="1:45" ht="12" customHeight="1">
      <c r="A62" s="464"/>
      <c r="B62" s="451"/>
      <c r="C62" s="451"/>
      <c r="D62" s="452"/>
      <c r="E62" s="452"/>
      <c r="F62" s="456"/>
      <c r="G62" s="450"/>
      <c r="H62" s="471"/>
      <c r="I62" s="145"/>
      <c r="K62" s="19" t="s">
        <v>113</v>
      </c>
      <c r="M62" s="145"/>
      <c r="AF62" s="708"/>
      <c r="AG62" s="705"/>
      <c r="AH62" s="705" t="b">
        <v>0</v>
      </c>
      <c r="AI62" s="145"/>
      <c r="AJ62" s="142"/>
      <c r="AM62" s="19"/>
      <c r="AP62" s="19"/>
      <c r="AQ62" s="19"/>
      <c r="AR62" s="19"/>
      <c r="AS62" s="19"/>
    </row>
    <row r="63" spans="1:45" ht="12.75" customHeight="1">
      <c r="A63" s="464" t="s">
        <v>205</v>
      </c>
      <c r="B63" s="451"/>
      <c r="C63" s="453"/>
      <c r="D63" s="454"/>
      <c r="E63" s="454"/>
      <c r="F63" s="456"/>
      <c r="G63" s="450"/>
      <c r="H63" s="471"/>
      <c r="I63" s="145"/>
      <c r="J63" s="145"/>
      <c r="K63" s="145"/>
      <c r="L63" s="145"/>
      <c r="M63" s="145"/>
      <c r="N63" s="142"/>
      <c r="O63" s="145"/>
      <c r="AF63" s="708"/>
      <c r="AG63" s="705" t="b">
        <v>1</v>
      </c>
      <c r="AH63" s="705" t="b">
        <v>0</v>
      </c>
      <c r="AI63" s="145"/>
      <c r="AJ63" s="142"/>
      <c r="AK63" s="19"/>
      <c r="AL63" s="19"/>
      <c r="AM63" s="19"/>
      <c r="AN63" s="150"/>
      <c r="AO63" s="106"/>
      <c r="AP63" s="19"/>
      <c r="AQ63" s="19"/>
      <c r="AR63" s="19"/>
      <c r="AS63" s="19"/>
    </row>
    <row r="64" spans="1:45" ht="12.75" customHeight="1">
      <c r="A64" s="464" t="s">
        <v>206</v>
      </c>
      <c r="B64" s="451"/>
      <c r="C64" s="453"/>
      <c r="D64" s="451"/>
      <c r="E64" s="451"/>
      <c r="F64" s="456"/>
      <c r="G64" s="450"/>
      <c r="H64" s="471"/>
      <c r="I64" s="145"/>
      <c r="J64" s="145"/>
      <c r="K64" s="145"/>
      <c r="L64" s="145"/>
      <c r="M64" s="145"/>
      <c r="N64" s="142"/>
      <c r="O64" s="145"/>
      <c r="AF64" s="708"/>
      <c r="AG64" s="705"/>
      <c r="AH64" s="608">
        <f>IF(AH60*1=0,1,0)</f>
        <v>1</v>
      </c>
      <c r="AI64" s="145"/>
      <c r="AJ64" s="142"/>
      <c r="AK64" s="19"/>
      <c r="AL64" s="19"/>
      <c r="AM64" s="19"/>
      <c r="AN64" s="150"/>
      <c r="AO64" s="106"/>
      <c r="AP64" s="19"/>
      <c r="AQ64" s="19"/>
      <c r="AR64" s="19"/>
      <c r="AS64" s="19"/>
    </row>
    <row r="65" spans="1:45" ht="12" customHeight="1">
      <c r="A65" s="464" t="s">
        <v>207</v>
      </c>
      <c r="B65" s="451"/>
      <c r="C65" s="453"/>
      <c r="D65" s="455"/>
      <c r="E65" s="455"/>
      <c r="F65" s="456"/>
      <c r="G65" s="450"/>
      <c r="H65" s="471"/>
      <c r="I65" s="145"/>
      <c r="J65" s="145"/>
      <c r="K65" s="145"/>
      <c r="L65" s="145"/>
      <c r="M65" s="145"/>
      <c r="N65" s="145"/>
      <c r="O65" s="145"/>
      <c r="P65" s="142"/>
      <c r="Q65" s="142"/>
      <c r="R65" s="142"/>
      <c r="S65" s="142"/>
      <c r="T65" s="142"/>
      <c r="U65" s="142"/>
      <c r="V65" s="142"/>
      <c r="W65" s="142"/>
      <c r="X65" s="142"/>
      <c r="Y65" s="142"/>
      <c r="Z65" s="142"/>
      <c r="AA65" s="142"/>
      <c r="AB65" s="142"/>
      <c r="AC65" s="142"/>
      <c r="AD65" s="142"/>
      <c r="AE65" s="142"/>
      <c r="AF65" s="708"/>
      <c r="AG65" s="705"/>
      <c r="AH65" s="608"/>
      <c r="AI65" s="145"/>
      <c r="AJ65" s="142"/>
      <c r="AK65" s="19"/>
      <c r="AL65" s="19"/>
      <c r="AM65" s="19"/>
      <c r="AN65" s="150"/>
      <c r="AO65" s="106"/>
      <c r="AP65" s="19"/>
      <c r="AQ65" s="19"/>
      <c r="AR65" s="19"/>
      <c r="AS65" s="19"/>
    </row>
    <row r="66" spans="1:45" ht="12.75" customHeight="1">
      <c r="A66" s="464"/>
      <c r="B66" s="451"/>
      <c r="C66" s="453"/>
      <c r="D66" s="451"/>
      <c r="E66" s="451"/>
      <c r="F66" s="456"/>
      <c r="G66" s="450"/>
      <c r="H66" s="471"/>
      <c r="I66" s="145"/>
      <c r="J66" s="145"/>
      <c r="K66" s="145"/>
      <c r="L66" s="145"/>
      <c r="M66" s="145"/>
      <c r="N66" s="145"/>
      <c r="O66" s="145"/>
      <c r="P66" s="142"/>
      <c r="Q66" s="142"/>
      <c r="R66" s="142"/>
      <c r="S66" s="142"/>
      <c r="T66" s="142"/>
      <c r="U66" s="142"/>
      <c r="V66" s="142"/>
      <c r="W66" s="142"/>
      <c r="X66" s="142"/>
      <c r="Y66" s="142"/>
      <c r="Z66" s="142"/>
      <c r="AA66" s="142"/>
      <c r="AB66" s="142"/>
      <c r="AC66" s="142"/>
      <c r="AD66" s="142"/>
      <c r="AE66" s="142"/>
      <c r="AF66" s="708"/>
      <c r="AG66" s="705"/>
      <c r="AH66" s="608"/>
      <c r="AI66" s="143"/>
      <c r="AJ66" s="142"/>
      <c r="AK66" s="19"/>
      <c r="AL66" s="19"/>
      <c r="AM66" s="19"/>
      <c r="AN66" s="150"/>
      <c r="AO66" s="19"/>
      <c r="AP66" s="19"/>
      <c r="AQ66" s="19"/>
      <c r="AR66" s="19"/>
      <c r="AS66" s="19"/>
    </row>
    <row r="67" spans="1:45" ht="12.75" customHeight="1">
      <c r="A67" s="464"/>
      <c r="B67" s="451"/>
      <c r="C67" s="453"/>
      <c r="D67" s="451"/>
      <c r="E67" s="451"/>
      <c r="F67" s="456"/>
      <c r="G67" s="450"/>
      <c r="H67" s="471"/>
      <c r="I67" s="142"/>
      <c r="J67" s="142"/>
      <c r="K67" s="142"/>
      <c r="L67" s="142"/>
      <c r="M67" s="142"/>
      <c r="N67" s="142"/>
      <c r="O67" s="142"/>
      <c r="P67" s="145"/>
      <c r="Q67" s="145"/>
      <c r="R67" s="145"/>
      <c r="S67" s="145"/>
      <c r="T67" s="145"/>
      <c r="U67" s="145"/>
      <c r="V67" s="145"/>
      <c r="W67" s="145"/>
      <c r="X67" s="145"/>
      <c r="Y67" s="145"/>
      <c r="Z67" s="145"/>
      <c r="AA67" s="145"/>
      <c r="AB67" s="145"/>
      <c r="AC67" s="145"/>
      <c r="AD67" s="145"/>
      <c r="AE67" s="145"/>
      <c r="AF67" s="708"/>
      <c r="AG67" s="709"/>
      <c r="AH67" s="608"/>
      <c r="AI67" s="145"/>
      <c r="AJ67" s="142"/>
      <c r="AK67" s="19"/>
      <c r="AL67" s="106"/>
      <c r="AM67" s="19"/>
      <c r="AN67" s="150"/>
      <c r="AO67" s="19"/>
      <c r="AP67" s="19"/>
      <c r="AQ67" s="19"/>
      <c r="AR67" s="19"/>
      <c r="AS67" s="19"/>
    </row>
    <row r="68" spans="1:45" ht="12" customHeight="1">
      <c r="A68" s="465"/>
      <c r="B68" s="466"/>
      <c r="C68" s="467"/>
      <c r="D68" s="466"/>
      <c r="E68" s="466"/>
      <c r="F68" s="468"/>
      <c r="G68" s="472"/>
      <c r="H68" s="473"/>
      <c r="I68" s="142"/>
      <c r="J68" s="142"/>
      <c r="K68" s="142"/>
      <c r="L68" s="142"/>
      <c r="M68" s="142"/>
      <c r="N68" s="142"/>
      <c r="O68" s="142"/>
      <c r="P68" s="145"/>
      <c r="Q68" s="145"/>
      <c r="R68" s="145"/>
      <c r="S68" s="145"/>
      <c r="T68" s="145"/>
      <c r="U68" s="145"/>
      <c r="V68" s="145"/>
      <c r="W68" s="145"/>
      <c r="X68" s="145"/>
      <c r="Y68" s="145"/>
      <c r="Z68" s="145"/>
      <c r="AA68" s="145"/>
      <c r="AB68" s="145"/>
      <c r="AC68" s="145"/>
      <c r="AD68" s="145"/>
      <c r="AE68" s="145"/>
      <c r="AF68" s="708"/>
      <c r="AG68" s="708"/>
      <c r="AH68" s="608"/>
      <c r="AI68" s="145"/>
      <c r="AJ68" s="142"/>
      <c r="AK68" s="19"/>
      <c r="AL68" s="106"/>
      <c r="AM68" s="19"/>
      <c r="AN68" s="19"/>
      <c r="AO68" s="19"/>
      <c r="AP68" s="19"/>
      <c r="AQ68" s="19"/>
      <c r="AR68" s="19"/>
      <c r="AS68" s="19"/>
    </row>
    <row r="69" spans="1:45" ht="12" customHeight="1">
      <c r="A69" s="6"/>
      <c r="G69" s="142"/>
      <c r="H69" s="142"/>
      <c r="I69" s="142"/>
      <c r="J69" s="142"/>
      <c r="K69" s="142"/>
      <c r="L69" s="142"/>
      <c r="M69" s="142"/>
      <c r="N69" s="142"/>
      <c r="O69" s="142"/>
      <c r="P69" s="145"/>
      <c r="Q69" s="145"/>
      <c r="R69" s="145"/>
      <c r="S69" s="145"/>
      <c r="T69" s="145"/>
      <c r="U69" s="145"/>
      <c r="V69" s="145"/>
      <c r="W69" s="145"/>
      <c r="X69" s="145"/>
      <c r="Y69" s="145"/>
      <c r="Z69" s="145"/>
      <c r="AA69" s="145"/>
      <c r="AB69" s="145"/>
      <c r="AC69" s="145"/>
      <c r="AD69" s="145"/>
      <c r="AE69" s="145"/>
      <c r="AF69" s="708"/>
      <c r="AG69" s="708"/>
      <c r="AH69" s="608"/>
      <c r="AI69" s="145"/>
      <c r="AJ69" s="142"/>
      <c r="AK69" s="19"/>
      <c r="AL69" s="106"/>
      <c r="AM69" s="19"/>
      <c r="AN69" s="19"/>
      <c r="AO69" s="19"/>
      <c r="AP69" s="19"/>
      <c r="AQ69" s="19"/>
      <c r="AR69" s="19"/>
      <c r="AS69" s="19"/>
    </row>
    <row r="70" spans="1:45" ht="12" customHeight="1">
      <c r="A70" s="6"/>
      <c r="D70" s="142"/>
      <c r="E70" s="142"/>
      <c r="I70" s="142"/>
      <c r="J70" s="142"/>
      <c r="K70" s="142"/>
      <c r="L70" s="142"/>
      <c r="M70" s="142"/>
      <c r="N70" s="142"/>
      <c r="O70" s="142"/>
      <c r="P70" s="145"/>
      <c r="Q70" s="145"/>
      <c r="R70" s="145"/>
      <c r="S70" s="145"/>
      <c r="T70" s="145"/>
      <c r="U70" s="145"/>
      <c r="V70" s="145"/>
      <c r="W70" s="145"/>
      <c r="X70" s="145"/>
      <c r="Y70" s="145"/>
      <c r="Z70" s="145"/>
      <c r="AA70" s="145"/>
      <c r="AB70" s="145"/>
      <c r="AC70" s="145"/>
      <c r="AD70" s="145"/>
      <c r="AE70" s="145"/>
      <c r="AF70" s="708"/>
      <c r="AG70" s="708"/>
      <c r="AH70" s="608"/>
      <c r="AI70" s="145"/>
      <c r="AJ70" s="142"/>
      <c r="AK70" s="19"/>
      <c r="AL70" s="106"/>
      <c r="AM70" s="19"/>
      <c r="AN70" s="150"/>
      <c r="AO70" s="19"/>
      <c r="AP70" s="19"/>
      <c r="AQ70" s="19"/>
      <c r="AR70" s="19"/>
      <c r="AS70" s="19"/>
    </row>
    <row r="71" spans="1:45" ht="12" customHeight="1">
      <c r="A71" s="6"/>
      <c r="D71" s="142"/>
      <c r="E71" s="142"/>
      <c r="I71" s="142"/>
      <c r="J71" s="142"/>
      <c r="K71" s="142"/>
      <c r="L71" s="142"/>
      <c r="M71" s="142"/>
      <c r="N71" s="142"/>
      <c r="O71" s="142"/>
      <c r="P71" s="145"/>
      <c r="Q71" s="145"/>
      <c r="R71" s="145"/>
      <c r="S71" s="145"/>
      <c r="T71" s="145"/>
      <c r="U71" s="145"/>
      <c r="V71" s="145"/>
      <c r="W71" s="145"/>
      <c r="X71" s="145"/>
      <c r="Y71" s="145"/>
      <c r="Z71" s="145"/>
      <c r="AA71" s="145"/>
      <c r="AB71" s="145"/>
      <c r="AC71" s="145"/>
      <c r="AD71" s="145"/>
      <c r="AE71" s="145"/>
      <c r="AF71" s="708">
        <f>D71</f>
        <v>0</v>
      </c>
      <c r="AG71" s="710"/>
      <c r="AH71" s="608"/>
      <c r="AI71" s="145"/>
      <c r="AJ71" s="142"/>
      <c r="AK71" s="19"/>
      <c r="AL71" s="106"/>
      <c r="AM71" s="19"/>
      <c r="AN71" s="150"/>
      <c r="AO71" s="19"/>
      <c r="AP71" s="19"/>
      <c r="AQ71" s="19"/>
      <c r="AR71" s="19"/>
      <c r="AS71" s="19"/>
    </row>
    <row r="72" spans="1:45" ht="12" customHeight="1">
      <c r="A72" s="149"/>
      <c r="B72" s="19"/>
      <c r="C72" s="142"/>
      <c r="D72" s="142"/>
      <c r="E72" s="142"/>
      <c r="I72" s="142"/>
      <c r="J72" s="142"/>
      <c r="K72" s="142"/>
      <c r="L72" s="142"/>
      <c r="M72" s="142"/>
      <c r="N72" s="142"/>
      <c r="O72" s="142"/>
      <c r="P72" s="145"/>
      <c r="Q72" s="145"/>
      <c r="R72" s="145"/>
      <c r="S72" s="145"/>
      <c r="T72" s="145"/>
      <c r="U72" s="145"/>
      <c r="V72" s="145"/>
      <c r="W72" s="145"/>
      <c r="X72" s="145"/>
      <c r="Y72" s="145"/>
      <c r="Z72" s="145"/>
      <c r="AA72" s="145"/>
      <c r="AB72" s="145"/>
      <c r="AC72" s="145"/>
      <c r="AD72" s="145"/>
      <c r="AE72" s="145"/>
      <c r="AF72" s="708"/>
      <c r="AG72" s="710"/>
      <c r="AH72" s="608"/>
      <c r="AI72" s="145"/>
      <c r="AJ72" s="142"/>
      <c r="AK72" s="19"/>
      <c r="AL72" s="106"/>
      <c r="AM72" s="19"/>
      <c r="AN72" s="150"/>
      <c r="AO72" s="19"/>
      <c r="AP72" s="19"/>
      <c r="AQ72" s="19"/>
      <c r="AR72" s="19"/>
      <c r="AS72" s="19"/>
    </row>
    <row r="73" spans="9:45" ht="12" customHeight="1">
      <c r="I73" s="142"/>
      <c r="J73" s="142"/>
      <c r="K73" s="142"/>
      <c r="L73" s="142"/>
      <c r="M73" s="142"/>
      <c r="N73" s="142"/>
      <c r="O73" s="142"/>
      <c r="P73" s="145"/>
      <c r="Q73" s="145"/>
      <c r="R73" s="145"/>
      <c r="S73" s="145"/>
      <c r="T73" s="145"/>
      <c r="U73" s="145"/>
      <c r="V73" s="145"/>
      <c r="W73" s="145"/>
      <c r="X73" s="145"/>
      <c r="Y73" s="145"/>
      <c r="Z73" s="145"/>
      <c r="AA73" s="145"/>
      <c r="AB73" s="145"/>
      <c r="AC73" s="145"/>
      <c r="AD73" s="145"/>
      <c r="AE73" s="145"/>
      <c r="AF73" s="708"/>
      <c r="AG73" s="710"/>
      <c r="AH73" s="608"/>
      <c r="AI73" s="145"/>
      <c r="AJ73" s="142"/>
      <c r="AK73" s="19"/>
      <c r="AL73" s="106"/>
      <c r="AM73" s="19"/>
      <c r="AN73" s="150"/>
      <c r="AO73" s="19"/>
      <c r="AP73" s="19"/>
      <c r="AQ73" s="19"/>
      <c r="AR73" s="19"/>
      <c r="AS73" s="19"/>
    </row>
    <row r="74" spans="7:45" ht="12" customHeight="1">
      <c r="G74" s="142"/>
      <c r="H74" s="142"/>
      <c r="I74" s="142"/>
      <c r="J74" s="142"/>
      <c r="K74" s="142"/>
      <c r="L74" s="142"/>
      <c r="M74" s="142"/>
      <c r="N74" s="142"/>
      <c r="O74" s="142"/>
      <c r="P74" s="145"/>
      <c r="Q74" s="145"/>
      <c r="R74" s="145"/>
      <c r="S74" s="145"/>
      <c r="T74" s="145"/>
      <c r="U74" s="145"/>
      <c r="V74" s="145"/>
      <c r="W74" s="145"/>
      <c r="X74" s="145"/>
      <c r="Y74" s="145"/>
      <c r="Z74" s="145"/>
      <c r="AA74" s="145"/>
      <c r="AB74" s="145"/>
      <c r="AC74" s="145"/>
      <c r="AD74" s="145"/>
      <c r="AE74" s="145"/>
      <c r="AF74" s="708"/>
      <c r="AG74" s="710"/>
      <c r="AH74" s="608"/>
      <c r="AI74" s="145"/>
      <c r="AJ74" s="142"/>
      <c r="AK74" s="19"/>
      <c r="AL74" s="106"/>
      <c r="AM74" s="19"/>
      <c r="AN74" s="150"/>
      <c r="AO74" s="19"/>
      <c r="AP74" s="19"/>
      <c r="AQ74" s="19"/>
      <c r="AR74" s="19"/>
      <c r="AS74" s="19"/>
    </row>
    <row r="75" spans="7:45" ht="12" customHeight="1">
      <c r="G75" s="162"/>
      <c r="H75" s="142"/>
      <c r="I75" s="142"/>
      <c r="J75" s="142"/>
      <c r="K75" s="142"/>
      <c r="L75" s="142"/>
      <c r="M75" s="142"/>
      <c r="N75" s="142"/>
      <c r="O75" s="142"/>
      <c r="P75" s="145"/>
      <c r="Q75" s="145"/>
      <c r="R75" s="145"/>
      <c r="S75" s="145"/>
      <c r="T75" s="145"/>
      <c r="U75" s="145"/>
      <c r="V75" s="145"/>
      <c r="W75" s="145"/>
      <c r="X75" s="145"/>
      <c r="Y75" s="145"/>
      <c r="Z75" s="145"/>
      <c r="AA75" s="145"/>
      <c r="AB75" s="145"/>
      <c r="AC75" s="145"/>
      <c r="AD75" s="145"/>
      <c r="AE75" s="145"/>
      <c r="AF75" s="708">
        <f>I33</f>
        <v>0</v>
      </c>
      <c r="AG75" s="710"/>
      <c r="AH75" s="608"/>
      <c r="AI75" s="145"/>
      <c r="AJ75" s="142"/>
      <c r="AK75" s="19"/>
      <c r="AL75" s="106"/>
      <c r="AM75" s="19"/>
      <c r="AN75" s="150"/>
      <c r="AO75" s="19"/>
      <c r="AP75" s="19"/>
      <c r="AQ75" s="19"/>
      <c r="AR75" s="19"/>
      <c r="AS75" s="19"/>
    </row>
    <row r="76" spans="6:45" ht="12" customHeight="1">
      <c r="F76" s="145"/>
      <c r="G76" s="163"/>
      <c r="H76" s="142"/>
      <c r="I76" s="142"/>
      <c r="J76" s="142"/>
      <c r="K76" s="142"/>
      <c r="L76" s="142"/>
      <c r="M76" s="142"/>
      <c r="N76" s="142"/>
      <c r="O76" s="142"/>
      <c r="P76" s="143"/>
      <c r="Q76" s="143"/>
      <c r="R76" s="143"/>
      <c r="S76" s="143"/>
      <c r="T76" s="143"/>
      <c r="U76" s="143"/>
      <c r="V76" s="143"/>
      <c r="W76" s="143"/>
      <c r="X76" s="143"/>
      <c r="Y76" s="143"/>
      <c r="Z76" s="143"/>
      <c r="AA76" s="143"/>
      <c r="AB76" s="143"/>
      <c r="AC76" s="143"/>
      <c r="AD76" s="143"/>
      <c r="AE76" s="143"/>
      <c r="AF76" s="708"/>
      <c r="AG76" s="710"/>
      <c r="AH76" s="608"/>
      <c r="AI76" s="143"/>
      <c r="AJ76" s="142"/>
      <c r="AK76" s="19"/>
      <c r="AL76" s="106"/>
      <c r="AM76" s="19"/>
      <c r="AN76" s="150"/>
      <c r="AO76" s="19"/>
      <c r="AP76" s="19"/>
      <c r="AQ76" s="19"/>
      <c r="AR76" s="19"/>
      <c r="AS76" s="19"/>
    </row>
    <row r="77" spans="7:45" ht="12" customHeight="1">
      <c r="G77" s="162"/>
      <c r="H77" s="142"/>
      <c r="I77" s="142"/>
      <c r="J77" s="142"/>
      <c r="K77" s="142"/>
      <c r="L77" s="142"/>
      <c r="M77" s="142"/>
      <c r="N77" s="142"/>
      <c r="O77" s="142"/>
      <c r="P77" s="145"/>
      <c r="Q77" s="145"/>
      <c r="R77" s="145"/>
      <c r="S77" s="145"/>
      <c r="T77" s="145"/>
      <c r="U77" s="145"/>
      <c r="V77" s="145"/>
      <c r="W77" s="145"/>
      <c r="X77" s="145"/>
      <c r="Y77" s="145"/>
      <c r="Z77" s="145"/>
      <c r="AA77" s="145"/>
      <c r="AB77" s="145"/>
      <c r="AC77" s="145"/>
      <c r="AD77" s="145"/>
      <c r="AE77" s="145"/>
      <c r="AF77" s="708"/>
      <c r="AG77" s="710"/>
      <c r="AH77" s="608"/>
      <c r="AI77" s="145"/>
      <c r="AJ77" s="142"/>
      <c r="AK77" s="19"/>
      <c r="AL77" s="19"/>
      <c r="AM77" s="19"/>
      <c r="AN77" s="150"/>
      <c r="AO77" s="19"/>
      <c r="AP77" s="19"/>
      <c r="AQ77" s="19"/>
      <c r="AR77" s="19"/>
      <c r="AS77" s="19"/>
    </row>
    <row r="78" spans="1:45" ht="12" customHeight="1">
      <c r="A78" s="6"/>
      <c r="F78" s="793"/>
      <c r="G78" s="162"/>
      <c r="H78" s="101"/>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708">
        <f>I37</f>
        <v>0</v>
      </c>
      <c r="AG78" s="710"/>
      <c r="AH78" s="608"/>
      <c r="AI78" s="145"/>
      <c r="AJ78" s="142"/>
      <c r="AK78" s="19"/>
      <c r="AL78" s="19"/>
      <c r="AM78" s="19"/>
      <c r="AN78" s="150"/>
      <c r="AO78" s="19"/>
      <c r="AP78" s="19"/>
      <c r="AQ78" s="19"/>
      <c r="AR78" s="19"/>
      <c r="AS78" s="19"/>
    </row>
    <row r="79" spans="1:45" ht="12" customHeight="1">
      <c r="A79" s="6"/>
      <c r="P79" s="119"/>
      <c r="Q79" s="119"/>
      <c r="R79" s="119"/>
      <c r="S79" s="119"/>
      <c r="T79" s="119"/>
      <c r="U79" s="119"/>
      <c r="V79" s="119"/>
      <c r="W79" s="119"/>
      <c r="X79" s="119"/>
      <c r="Y79" s="119"/>
      <c r="Z79" s="119"/>
      <c r="AA79" s="119"/>
      <c r="AB79" s="119"/>
      <c r="AC79" s="119"/>
      <c r="AD79" s="119"/>
      <c r="AE79" s="119"/>
      <c r="AF79" s="708"/>
      <c r="AG79" s="710"/>
      <c r="AH79" s="608"/>
      <c r="AI79" s="145"/>
      <c r="AJ79" s="142"/>
      <c r="AK79" s="19"/>
      <c r="AL79" s="19"/>
      <c r="AM79" s="19"/>
      <c r="AN79" s="19"/>
      <c r="AO79" s="19"/>
      <c r="AP79" s="19"/>
      <c r="AQ79" s="19"/>
      <c r="AR79" s="19"/>
      <c r="AS79" s="19"/>
    </row>
    <row r="80" spans="1:45" ht="12" customHeight="1">
      <c r="A80" s="6"/>
      <c r="G80" s="162"/>
      <c r="H80" s="100"/>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708"/>
      <c r="AG80" s="710"/>
      <c r="AH80" s="608"/>
      <c r="AI80" s="145"/>
      <c r="AJ80" s="142"/>
      <c r="AK80" s="19"/>
      <c r="AL80" s="19"/>
      <c r="AM80" s="19"/>
      <c r="AN80" s="19"/>
      <c r="AO80" s="19"/>
      <c r="AP80" s="19"/>
      <c r="AQ80" s="19"/>
      <c r="AR80" s="19"/>
      <c r="AS80" s="19"/>
    </row>
    <row r="81" spans="1:45" ht="12" customHeight="1">
      <c r="A81" s="6"/>
      <c r="G81" s="162"/>
      <c r="H81" s="19"/>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708">
        <f>I41</f>
        <v>0</v>
      </c>
      <c r="AG81" s="710"/>
      <c r="AH81" s="608"/>
      <c r="AI81" s="145"/>
      <c r="AJ81" s="142"/>
      <c r="AK81" s="19"/>
      <c r="AL81" s="19"/>
      <c r="AM81" s="19"/>
      <c r="AN81" s="19"/>
      <c r="AO81" s="19"/>
      <c r="AP81" s="19"/>
      <c r="AQ81" s="19"/>
      <c r="AR81" s="19"/>
      <c r="AS81" s="19"/>
    </row>
    <row r="82" spans="1:45" ht="12" customHeight="1">
      <c r="A82" s="37"/>
      <c r="B82" s="19"/>
      <c r="C82" s="39"/>
      <c r="D82" s="39"/>
      <c r="E82" s="39"/>
      <c r="G82" s="164"/>
      <c r="H82" s="19"/>
      <c r="I82" s="39"/>
      <c r="J82" s="39"/>
      <c r="K82" s="39"/>
      <c r="L82" s="39"/>
      <c r="M82" s="39"/>
      <c r="N82" s="39"/>
      <c r="O82" s="39"/>
      <c r="P82" s="39"/>
      <c r="Q82" s="39"/>
      <c r="R82" s="39"/>
      <c r="S82" s="39"/>
      <c r="T82" s="39"/>
      <c r="U82" s="39"/>
      <c r="V82" s="39"/>
      <c r="W82" s="39"/>
      <c r="X82" s="39"/>
      <c r="Y82" s="39"/>
      <c r="Z82" s="39"/>
      <c r="AA82" s="39"/>
      <c r="AB82" s="39"/>
      <c r="AC82" s="39"/>
      <c r="AD82" s="39"/>
      <c r="AE82" s="39"/>
      <c r="AF82" s="708"/>
      <c r="AG82" s="705"/>
      <c r="AH82" s="608"/>
      <c r="AI82" s="145"/>
      <c r="AJ82" s="142"/>
      <c r="AK82" s="19"/>
      <c r="AL82" s="19"/>
      <c r="AM82" s="19"/>
      <c r="AN82" s="19"/>
      <c r="AO82" s="19"/>
      <c r="AP82" s="19"/>
      <c r="AQ82" s="19"/>
      <c r="AR82" s="19"/>
      <c r="AS82" s="19"/>
    </row>
    <row r="83" spans="1:45" ht="12" customHeight="1">
      <c r="A83" s="6"/>
      <c r="G83" s="162"/>
      <c r="H83" s="101"/>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708"/>
      <c r="AG83" s="705"/>
      <c r="AH83" s="608"/>
      <c r="AI83" s="145"/>
      <c r="AJ83" s="142"/>
      <c r="AK83" s="19"/>
      <c r="AL83" s="19"/>
      <c r="AM83" s="19"/>
      <c r="AN83" s="19"/>
      <c r="AO83" s="19"/>
      <c r="AP83" s="19"/>
      <c r="AQ83" s="19"/>
      <c r="AR83" s="19"/>
      <c r="AS83" s="19"/>
    </row>
    <row r="84" spans="1:45" ht="12" customHeight="1">
      <c r="A84" s="6"/>
      <c r="G84" s="163"/>
      <c r="H84" s="16"/>
      <c r="I84" s="16"/>
      <c r="J84" s="16"/>
      <c r="K84" s="16"/>
      <c r="L84" s="16"/>
      <c r="M84" s="16"/>
      <c r="N84" s="16"/>
      <c r="O84" s="16"/>
      <c r="P84" s="16"/>
      <c r="Q84" s="16"/>
      <c r="R84" s="16"/>
      <c r="S84" s="16"/>
      <c r="T84" s="16"/>
      <c r="U84" s="16"/>
      <c r="V84" s="16"/>
      <c r="W84" s="16"/>
      <c r="X84" s="16"/>
      <c r="Y84" s="16"/>
      <c r="Z84" s="16"/>
      <c r="AA84" s="16"/>
      <c r="AB84" s="16"/>
      <c r="AC84" s="16"/>
      <c r="AD84" s="16"/>
      <c r="AE84" s="16"/>
      <c r="AF84" s="708"/>
      <c r="AG84" s="705"/>
      <c r="AH84" s="608"/>
      <c r="AI84" s="145"/>
      <c r="AJ84" s="142"/>
      <c r="AK84" s="19"/>
      <c r="AL84" s="19"/>
      <c r="AM84" s="19"/>
      <c r="AN84" s="19"/>
      <c r="AO84" s="19"/>
      <c r="AP84" s="19"/>
      <c r="AQ84" s="19"/>
      <c r="AR84" s="19"/>
      <c r="AS84" s="19"/>
    </row>
    <row r="85" spans="1:45" ht="12" customHeight="1">
      <c r="A85" s="6"/>
      <c r="G85" s="16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708"/>
      <c r="AG85" s="705"/>
      <c r="AH85" s="608"/>
      <c r="AI85" s="145"/>
      <c r="AJ85" s="142"/>
      <c r="AK85" s="19"/>
      <c r="AL85" s="19"/>
      <c r="AM85" s="19"/>
      <c r="AN85" s="19"/>
      <c r="AO85" s="19"/>
      <c r="AP85" s="19"/>
      <c r="AQ85" s="19"/>
      <c r="AR85" s="19"/>
      <c r="AS85" s="19"/>
    </row>
    <row r="86" spans="1:45" ht="12" customHeight="1">
      <c r="A86" s="6"/>
      <c r="G86" s="165"/>
      <c r="H86" s="20"/>
      <c r="I86" s="20"/>
      <c r="J86" s="20"/>
      <c r="K86" s="20"/>
      <c r="L86" s="20"/>
      <c r="M86" s="20"/>
      <c r="N86" s="20"/>
      <c r="O86" s="20"/>
      <c r="P86" s="20"/>
      <c r="Q86" s="20"/>
      <c r="R86" s="20"/>
      <c r="S86" s="20"/>
      <c r="T86" s="20"/>
      <c r="U86" s="20"/>
      <c r="V86" s="20"/>
      <c r="W86" s="20"/>
      <c r="X86" s="20"/>
      <c r="Y86" s="20"/>
      <c r="Z86" s="20"/>
      <c r="AA86" s="20"/>
      <c r="AB86" s="20"/>
      <c r="AC86" s="20"/>
      <c r="AD86" s="20"/>
      <c r="AE86" s="20"/>
      <c r="AF86" s="708"/>
      <c r="AG86" s="705"/>
      <c r="AH86" s="608"/>
      <c r="AI86" s="145"/>
      <c r="AJ86" s="142"/>
      <c r="AK86" s="19"/>
      <c r="AL86" s="19"/>
      <c r="AM86" s="19"/>
      <c r="AN86" s="19"/>
      <c r="AO86" s="19"/>
      <c r="AP86" s="19"/>
      <c r="AQ86" s="19"/>
      <c r="AR86" s="19"/>
      <c r="AS86" s="19"/>
    </row>
    <row r="87" spans="1:45" ht="12" customHeight="1">
      <c r="A87" s="6"/>
      <c r="G87" s="165"/>
      <c r="H87" s="103"/>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708"/>
      <c r="AG87" s="705"/>
      <c r="AH87" s="608"/>
      <c r="AI87" s="142"/>
      <c r="AJ87" s="142"/>
      <c r="AK87" s="19"/>
      <c r="AL87" s="19"/>
      <c r="AM87" s="19"/>
      <c r="AN87" s="19"/>
      <c r="AO87" s="19"/>
      <c r="AP87" s="19"/>
      <c r="AQ87" s="19"/>
      <c r="AR87" s="19"/>
      <c r="AS87" s="19"/>
    </row>
    <row r="88" spans="1:45" ht="12" customHeight="1">
      <c r="A88" s="6"/>
      <c r="G88" s="165"/>
      <c r="H88" s="103"/>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708"/>
      <c r="AG88" s="705"/>
      <c r="AH88" s="608"/>
      <c r="AI88" s="142"/>
      <c r="AJ88" s="142"/>
      <c r="AK88" s="19"/>
      <c r="AL88" s="19"/>
      <c r="AM88" s="19"/>
      <c r="AN88" s="19"/>
      <c r="AO88" s="19"/>
      <c r="AP88" s="19"/>
      <c r="AQ88" s="19"/>
      <c r="AR88" s="19"/>
      <c r="AS88" s="19"/>
    </row>
    <row r="89" spans="1:45" ht="9.75">
      <c r="A89" s="6"/>
      <c r="G89" s="165"/>
      <c r="H89" s="103"/>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708"/>
      <c r="AG89" s="705"/>
      <c r="AH89" s="608"/>
      <c r="AI89" s="142"/>
      <c r="AJ89" s="142"/>
      <c r="AK89" s="19"/>
      <c r="AL89" s="19"/>
      <c r="AM89" s="19"/>
      <c r="AN89" s="19"/>
      <c r="AO89" s="19"/>
      <c r="AP89" s="19"/>
      <c r="AQ89" s="19"/>
      <c r="AR89" s="19"/>
      <c r="AS89" s="19"/>
    </row>
    <row r="90" spans="1:45" ht="9.75">
      <c r="A90" s="6"/>
      <c r="G90" s="165"/>
      <c r="H90" s="103"/>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708"/>
      <c r="AG90" s="705"/>
      <c r="AH90" s="608"/>
      <c r="AI90" s="142"/>
      <c r="AJ90" s="142"/>
      <c r="AK90" s="19"/>
      <c r="AL90" s="19"/>
      <c r="AM90" s="19"/>
      <c r="AN90" s="19"/>
      <c r="AO90" s="19"/>
      <c r="AP90" s="19"/>
      <c r="AQ90" s="19"/>
      <c r="AR90" s="19"/>
      <c r="AS90" s="19"/>
    </row>
    <row r="91" spans="1:45" ht="15" customHeight="1">
      <c r="A91" s="6"/>
      <c r="G91" s="165"/>
      <c r="H91" s="103"/>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708"/>
      <c r="AG91" s="705"/>
      <c r="AH91" s="608"/>
      <c r="AI91" s="142"/>
      <c r="AJ91" s="142"/>
      <c r="AK91" s="19"/>
      <c r="AL91" s="19"/>
      <c r="AM91" s="19"/>
      <c r="AN91" s="19"/>
      <c r="AO91" s="19"/>
      <c r="AP91" s="19"/>
      <c r="AQ91" s="19"/>
      <c r="AR91" s="19"/>
      <c r="AS91" s="19"/>
    </row>
    <row r="92" spans="1:45" ht="12" customHeight="1">
      <c r="A92" s="6"/>
      <c r="G92" s="165"/>
      <c r="H92" s="103"/>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708"/>
      <c r="AG92" s="705"/>
      <c r="AH92" s="608"/>
      <c r="AI92" s="142"/>
      <c r="AJ92" s="142"/>
      <c r="AK92" s="19"/>
      <c r="AL92" s="19"/>
      <c r="AM92" s="19"/>
      <c r="AN92" s="19"/>
      <c r="AO92" s="19"/>
      <c r="AP92" s="19"/>
      <c r="AQ92" s="19"/>
      <c r="AR92" s="19"/>
      <c r="AS92" s="19"/>
    </row>
    <row r="93" spans="1:45" ht="12" customHeight="1">
      <c r="A93" s="6"/>
      <c r="G93" s="166"/>
      <c r="H93" s="151"/>
      <c r="I93" s="141"/>
      <c r="J93" s="141"/>
      <c r="K93" s="141"/>
      <c r="L93" s="141"/>
      <c r="M93" s="141"/>
      <c r="N93" s="141"/>
      <c r="O93" s="141"/>
      <c r="P93" s="137"/>
      <c r="Q93" s="137"/>
      <c r="R93" s="137"/>
      <c r="S93" s="137"/>
      <c r="T93" s="137"/>
      <c r="U93" s="137"/>
      <c r="V93" s="137"/>
      <c r="W93" s="137"/>
      <c r="X93" s="137"/>
      <c r="Y93" s="137"/>
      <c r="Z93" s="137"/>
      <c r="AA93" s="137"/>
      <c r="AB93" s="137"/>
      <c r="AC93" s="137"/>
      <c r="AD93" s="137"/>
      <c r="AE93" s="137"/>
      <c r="AF93" s="708">
        <f>D63</f>
        <v>0</v>
      </c>
      <c r="AG93" s="710"/>
      <c r="AH93" s="608"/>
      <c r="AI93" s="142"/>
      <c r="AJ93" s="142"/>
      <c r="AK93" s="19"/>
      <c r="AL93" s="19"/>
      <c r="AM93" s="19"/>
      <c r="AN93" s="19"/>
      <c r="AO93" s="19"/>
      <c r="AP93" s="19"/>
      <c r="AQ93" s="19"/>
      <c r="AR93" s="19"/>
      <c r="AS93" s="19"/>
    </row>
    <row r="94" spans="1:45" ht="12" customHeight="1">
      <c r="A94" s="6"/>
      <c r="G94" s="166"/>
      <c r="H94" s="151"/>
      <c r="I94" s="141"/>
      <c r="J94" s="141"/>
      <c r="K94" s="141"/>
      <c r="L94" s="141"/>
      <c r="M94" s="141"/>
      <c r="N94" s="141"/>
      <c r="O94" s="141"/>
      <c r="P94" s="137"/>
      <c r="Q94" s="137"/>
      <c r="R94" s="137"/>
      <c r="S94" s="137"/>
      <c r="T94" s="137"/>
      <c r="U94" s="137"/>
      <c r="V94" s="137"/>
      <c r="W94" s="137"/>
      <c r="X94" s="137"/>
      <c r="Y94" s="137"/>
      <c r="Z94" s="137"/>
      <c r="AA94" s="137"/>
      <c r="AB94" s="137"/>
      <c r="AC94" s="137"/>
      <c r="AD94" s="137"/>
      <c r="AE94" s="137"/>
      <c r="AF94" s="708"/>
      <c r="AG94" s="710"/>
      <c r="AH94" s="608"/>
      <c r="AI94" s="142"/>
      <c r="AJ94" s="142"/>
      <c r="AK94" s="19"/>
      <c r="AL94" s="19"/>
      <c r="AM94" s="19"/>
      <c r="AN94" s="19"/>
      <c r="AO94" s="19"/>
      <c r="AP94" s="19"/>
      <c r="AQ94" s="19"/>
      <c r="AR94" s="19"/>
      <c r="AS94" s="19"/>
    </row>
    <row r="95" spans="1:45" ht="12" customHeight="1">
      <c r="A95" s="6"/>
      <c r="G95" s="167"/>
      <c r="H95" s="152"/>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72"/>
      <c r="AH95" s="142"/>
      <c r="AI95" s="142"/>
      <c r="AJ95" s="142"/>
      <c r="AK95" s="19"/>
      <c r="AL95" s="19"/>
      <c r="AM95" s="19"/>
      <c r="AN95" s="19"/>
      <c r="AO95" s="19"/>
      <c r="AP95" s="19"/>
      <c r="AQ95" s="19"/>
      <c r="AR95" s="19"/>
      <c r="AS95" s="19"/>
    </row>
    <row r="96" spans="1:45" ht="12" customHeight="1">
      <c r="A96" s="28"/>
      <c r="B96" s="19"/>
      <c r="C96" s="16"/>
      <c r="D96" s="16"/>
      <c r="E96" s="16"/>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42"/>
      <c r="AG96" s="16"/>
      <c r="AH96" s="142"/>
      <c r="AI96" s="142"/>
      <c r="AJ96" s="142"/>
      <c r="AK96" s="19"/>
      <c r="AL96" s="19"/>
      <c r="AM96" s="19"/>
      <c r="AN96" s="19"/>
      <c r="AO96" s="19"/>
      <c r="AP96" s="19"/>
      <c r="AQ96" s="19"/>
      <c r="AR96" s="19"/>
      <c r="AS96" s="19"/>
    </row>
    <row r="97" spans="1:45" ht="12" customHeight="1">
      <c r="A97" s="19"/>
      <c r="B97" s="19"/>
      <c r="C97" s="19"/>
      <c r="D97" s="16"/>
      <c r="E97" s="16"/>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42"/>
      <c r="AG97" s="20"/>
      <c r="AH97" s="142"/>
      <c r="AI97" s="142"/>
      <c r="AJ97" s="142"/>
      <c r="AK97" s="19"/>
      <c r="AL97" s="19"/>
      <c r="AM97" s="19"/>
      <c r="AN97" s="19"/>
      <c r="AO97" s="19"/>
      <c r="AP97" s="19"/>
      <c r="AQ97" s="19"/>
      <c r="AR97" s="19"/>
      <c r="AS97" s="19"/>
    </row>
    <row r="98" spans="1:45" ht="12" customHeight="1">
      <c r="A98" s="19"/>
      <c r="B98" s="19"/>
      <c r="C98" s="19"/>
      <c r="D98" s="16"/>
      <c r="E98" s="16"/>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42"/>
      <c r="AG98" s="16"/>
      <c r="AH98" s="142"/>
      <c r="AI98" s="142"/>
      <c r="AJ98" s="142"/>
      <c r="AK98" s="19"/>
      <c r="AL98" s="19"/>
      <c r="AM98" s="19"/>
      <c r="AN98" s="19"/>
      <c r="AO98" s="19"/>
      <c r="AP98" s="19"/>
      <c r="AQ98" s="19"/>
      <c r="AR98" s="19"/>
      <c r="AS98" s="19"/>
    </row>
    <row r="99" spans="1:45" ht="12" customHeight="1">
      <c r="A99" s="19"/>
      <c r="B99" s="19"/>
      <c r="C99" s="19"/>
      <c r="D99" s="16"/>
      <c r="E99" s="16"/>
      <c r="F99" s="16"/>
      <c r="G99" s="19"/>
      <c r="H99" s="19"/>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42"/>
      <c r="AG99" s="142"/>
      <c r="AH99" s="142"/>
      <c r="AI99" s="142"/>
      <c r="AJ99" s="142"/>
      <c r="AK99" s="19"/>
      <c r="AL99" s="19"/>
      <c r="AM99" s="19"/>
      <c r="AN99" s="19"/>
      <c r="AO99" s="19"/>
      <c r="AP99" s="19"/>
      <c r="AQ99" s="19"/>
      <c r="AR99" s="19"/>
      <c r="AS99" s="19"/>
    </row>
    <row r="100" spans="1:45" ht="12" customHeight="1">
      <c r="A100" s="6"/>
      <c r="D100" s="2"/>
      <c r="E100" s="2"/>
      <c r="F100" s="2"/>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42"/>
      <c r="AG100" s="142"/>
      <c r="AH100" s="142"/>
      <c r="AI100" s="142"/>
      <c r="AJ100" s="142"/>
      <c r="AK100" s="19"/>
      <c r="AL100" s="19"/>
      <c r="AM100" s="19"/>
      <c r="AN100" s="19"/>
      <c r="AO100" s="19"/>
      <c r="AP100" s="19"/>
      <c r="AQ100" s="19"/>
      <c r="AR100" s="19"/>
      <c r="AS100" s="19"/>
    </row>
    <row r="101" spans="1:45" ht="12" customHeight="1">
      <c r="A101" s="6"/>
      <c r="D101" s="2"/>
      <c r="E101" s="2"/>
      <c r="F101" s="8"/>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42"/>
      <c r="AI101" s="19"/>
      <c r="AJ101" s="19"/>
      <c r="AK101" s="19"/>
      <c r="AL101" s="19"/>
      <c r="AM101" s="19"/>
      <c r="AN101" s="19"/>
      <c r="AO101" s="19"/>
      <c r="AP101" s="19"/>
      <c r="AQ101" s="19"/>
      <c r="AR101" s="19"/>
      <c r="AS101" s="19"/>
    </row>
    <row r="102" spans="1:45" ht="9.75">
      <c r="A102" s="6"/>
      <c r="D102" s="2"/>
      <c r="E102" s="2"/>
      <c r="F102" s="2"/>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42"/>
      <c r="AI102" s="19"/>
      <c r="AJ102" s="19"/>
      <c r="AK102" s="19"/>
      <c r="AL102" s="19"/>
      <c r="AM102" s="19"/>
      <c r="AN102" s="19"/>
      <c r="AO102" s="19"/>
      <c r="AP102" s="19"/>
      <c r="AQ102" s="19"/>
      <c r="AR102" s="19"/>
      <c r="AS102" s="19"/>
    </row>
    <row r="103" spans="1:45" ht="9.75">
      <c r="A103" s="6"/>
      <c r="D103" s="2"/>
      <c r="E103" s="2"/>
      <c r="F103" s="2"/>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42"/>
      <c r="AI103" s="19"/>
      <c r="AJ103" s="19"/>
      <c r="AK103" s="19"/>
      <c r="AL103" s="19"/>
      <c r="AM103" s="19"/>
      <c r="AN103" s="19"/>
      <c r="AO103" s="19"/>
      <c r="AP103" s="19"/>
      <c r="AQ103" s="19"/>
      <c r="AR103" s="19"/>
      <c r="AS103" s="19"/>
    </row>
    <row r="104" spans="1:45" ht="9.75">
      <c r="A104" s="1"/>
      <c r="B104" s="9"/>
      <c r="C104" s="2"/>
      <c r="D104" s="2"/>
      <c r="E104" s="2"/>
      <c r="F104" s="2"/>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42"/>
      <c r="AI104" s="19"/>
      <c r="AJ104" s="19"/>
      <c r="AK104" s="19"/>
      <c r="AL104" s="19"/>
      <c r="AM104" s="19"/>
      <c r="AN104" s="19"/>
      <c r="AO104" s="19"/>
      <c r="AP104" s="19"/>
      <c r="AQ104" s="19"/>
      <c r="AR104" s="19"/>
      <c r="AS104" s="19"/>
    </row>
    <row r="105" spans="1:45" ht="9.75">
      <c r="A105" s="4"/>
      <c r="B105" s="9"/>
      <c r="C105" s="2"/>
      <c r="D105" s="2"/>
      <c r="E105" s="2"/>
      <c r="F105" s="2"/>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42"/>
      <c r="AI105" s="19"/>
      <c r="AJ105" s="19"/>
      <c r="AK105" s="19"/>
      <c r="AL105" s="19"/>
      <c r="AM105" s="19"/>
      <c r="AN105" s="19"/>
      <c r="AO105" s="19"/>
      <c r="AP105" s="19"/>
      <c r="AQ105" s="19"/>
      <c r="AR105" s="19"/>
      <c r="AS105" s="19"/>
    </row>
    <row r="106" spans="1:45" ht="9.75">
      <c r="A106" s="1"/>
      <c r="C106" s="11"/>
      <c r="D106" s="11"/>
      <c r="E106" s="11"/>
      <c r="F106" s="2"/>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42"/>
      <c r="AI106" s="19"/>
      <c r="AJ106" s="19"/>
      <c r="AK106" s="19"/>
      <c r="AL106" s="19"/>
      <c r="AM106" s="19"/>
      <c r="AN106" s="19"/>
      <c r="AO106" s="19"/>
      <c r="AP106" s="19"/>
      <c r="AQ106" s="19"/>
      <c r="AR106" s="19"/>
      <c r="AS106" s="19"/>
    </row>
    <row r="107" spans="1:45" ht="9.75">
      <c r="A107" s="1"/>
      <c r="B107" s="2"/>
      <c r="C107" s="2"/>
      <c r="D107" s="2"/>
      <c r="E107" s="2"/>
      <c r="F107" s="7"/>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42"/>
      <c r="AI107" s="19"/>
      <c r="AJ107" s="19"/>
      <c r="AK107" s="19"/>
      <c r="AL107" s="19"/>
      <c r="AM107" s="19"/>
      <c r="AN107" s="19"/>
      <c r="AO107" s="19"/>
      <c r="AP107" s="19"/>
      <c r="AQ107" s="19"/>
      <c r="AR107" s="19"/>
      <c r="AS107" s="19"/>
    </row>
    <row r="108" spans="1:45" ht="9.75">
      <c r="A108" s="1"/>
      <c r="B108" s="2"/>
      <c r="C108" s="3"/>
      <c r="D108" s="3"/>
      <c r="E108" s="3"/>
      <c r="F108" s="7"/>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42"/>
      <c r="AI108" s="19"/>
      <c r="AJ108" s="19"/>
      <c r="AK108" s="19"/>
      <c r="AL108" s="19"/>
      <c r="AM108" s="19"/>
      <c r="AN108" s="19"/>
      <c r="AO108" s="19"/>
      <c r="AP108" s="19"/>
      <c r="AQ108" s="19"/>
      <c r="AR108" s="19"/>
      <c r="AS108" s="19"/>
    </row>
    <row r="109" spans="1:45" ht="9.75">
      <c r="A109" s="4"/>
      <c r="B109" s="13"/>
      <c r="C109" s="8"/>
      <c r="D109" s="8"/>
      <c r="E109" s="8"/>
      <c r="F109" s="2"/>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42"/>
      <c r="AI109" s="19"/>
      <c r="AJ109" s="19"/>
      <c r="AK109" s="19"/>
      <c r="AL109" s="19"/>
      <c r="AM109" s="19"/>
      <c r="AN109" s="19"/>
      <c r="AO109" s="19"/>
      <c r="AP109" s="19"/>
      <c r="AQ109" s="19"/>
      <c r="AR109" s="19"/>
      <c r="AS109" s="19"/>
    </row>
    <row r="110" spans="1:45" ht="9.75">
      <c r="A110" s="4"/>
      <c r="B110" s="13"/>
      <c r="C110" s="8"/>
      <c r="D110" s="8"/>
      <c r="E110" s="8"/>
      <c r="F110" s="2"/>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42"/>
      <c r="AI110" s="19"/>
      <c r="AJ110" s="19"/>
      <c r="AK110" s="19"/>
      <c r="AL110" s="19"/>
      <c r="AM110" s="19"/>
      <c r="AN110" s="19"/>
      <c r="AO110" s="19"/>
      <c r="AP110" s="19"/>
      <c r="AQ110" s="19"/>
      <c r="AR110" s="19"/>
      <c r="AS110" s="19"/>
    </row>
    <row r="111" spans="1:45" ht="9.75">
      <c r="A111" s="4"/>
      <c r="B111" s="13"/>
      <c r="C111" s="8"/>
      <c r="D111" s="8"/>
      <c r="E111" s="8"/>
      <c r="F111" s="2"/>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42"/>
      <c r="AI111" s="19"/>
      <c r="AJ111" s="19"/>
      <c r="AK111" s="19"/>
      <c r="AL111" s="19"/>
      <c r="AM111" s="19"/>
      <c r="AN111" s="19"/>
      <c r="AO111" s="19"/>
      <c r="AP111" s="19"/>
      <c r="AQ111" s="19"/>
      <c r="AR111" s="19"/>
      <c r="AS111" s="19"/>
    </row>
    <row r="112" spans="1:45" ht="9.75">
      <c r="A112" s="1"/>
      <c r="B112" s="2"/>
      <c r="C112" s="2"/>
      <c r="D112" s="2"/>
      <c r="E112" s="2"/>
      <c r="F112" s="2"/>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42"/>
      <c r="AI112" s="19"/>
      <c r="AJ112" s="19"/>
      <c r="AK112" s="19"/>
      <c r="AL112" s="19"/>
      <c r="AM112" s="19"/>
      <c r="AN112" s="19"/>
      <c r="AO112" s="19"/>
      <c r="AP112" s="19"/>
      <c r="AQ112" s="19"/>
      <c r="AR112" s="19"/>
      <c r="AS112" s="19"/>
    </row>
    <row r="113" spans="1:45" ht="9.75">
      <c r="A113" s="1"/>
      <c r="B113" s="2"/>
      <c r="C113" s="2"/>
      <c r="D113" s="2"/>
      <c r="E113" s="2"/>
      <c r="F113" s="2"/>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42"/>
      <c r="AI113" s="19"/>
      <c r="AJ113" s="19"/>
      <c r="AK113" s="19"/>
      <c r="AL113" s="19"/>
      <c r="AM113" s="19"/>
      <c r="AN113" s="19"/>
      <c r="AO113" s="19"/>
      <c r="AP113" s="19"/>
      <c r="AQ113" s="19"/>
      <c r="AR113" s="19"/>
      <c r="AS113" s="19"/>
    </row>
    <row r="114" spans="1:45" ht="9.75">
      <c r="A114" s="1"/>
      <c r="B114" s="2"/>
      <c r="C114" s="2"/>
      <c r="D114" s="2"/>
      <c r="E114" s="2"/>
      <c r="F114" s="10"/>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42"/>
      <c r="AI114" s="19"/>
      <c r="AJ114" s="19"/>
      <c r="AK114" s="19"/>
      <c r="AL114" s="19"/>
      <c r="AM114" s="19"/>
      <c r="AN114" s="19"/>
      <c r="AO114" s="19"/>
      <c r="AP114" s="19"/>
      <c r="AQ114" s="19"/>
      <c r="AR114" s="19"/>
      <c r="AS114" s="19"/>
    </row>
    <row r="115" spans="1:45" ht="9.75">
      <c r="A115" s="1"/>
      <c r="B115" s="2"/>
      <c r="C115" s="2"/>
      <c r="D115" s="2"/>
      <c r="E115" s="2"/>
      <c r="F115" s="2"/>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42"/>
      <c r="AI115" s="19"/>
      <c r="AJ115" s="19"/>
      <c r="AK115" s="19"/>
      <c r="AL115" s="19"/>
      <c r="AM115" s="19"/>
      <c r="AN115" s="19"/>
      <c r="AO115" s="19"/>
      <c r="AP115" s="19"/>
      <c r="AQ115" s="19"/>
      <c r="AR115" s="19"/>
      <c r="AS115" s="19"/>
    </row>
    <row r="116" spans="1:45" ht="9.75">
      <c r="A116" s="1"/>
      <c r="B116" s="2"/>
      <c r="C116" s="2"/>
      <c r="D116" s="2"/>
      <c r="E116" s="2"/>
      <c r="F116" s="2"/>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42"/>
      <c r="AI116" s="19"/>
      <c r="AJ116" s="19"/>
      <c r="AK116" s="19"/>
      <c r="AL116" s="19"/>
      <c r="AM116" s="19"/>
      <c r="AN116" s="19"/>
      <c r="AO116" s="19"/>
      <c r="AP116" s="19"/>
      <c r="AQ116" s="19"/>
      <c r="AR116" s="19"/>
      <c r="AS116" s="19"/>
    </row>
    <row r="117" spans="1:45" ht="9.75">
      <c r="A117" s="1"/>
      <c r="B117" s="2"/>
      <c r="C117" s="2"/>
      <c r="D117" s="2"/>
      <c r="E117" s="2"/>
      <c r="F117" s="2"/>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42"/>
      <c r="AI117" s="19"/>
      <c r="AJ117" s="19"/>
      <c r="AK117" s="19"/>
      <c r="AL117" s="19"/>
      <c r="AM117" s="19"/>
      <c r="AN117" s="19"/>
      <c r="AO117" s="19"/>
      <c r="AP117" s="19"/>
      <c r="AQ117" s="19"/>
      <c r="AR117" s="19"/>
      <c r="AS117" s="19"/>
    </row>
    <row r="118" spans="1:45" ht="9.75">
      <c r="A118" s="1"/>
      <c r="B118" s="2"/>
      <c r="C118" s="2"/>
      <c r="D118" s="2"/>
      <c r="E118" s="2"/>
      <c r="F118" s="2"/>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42"/>
      <c r="AI118" s="19"/>
      <c r="AJ118" s="19"/>
      <c r="AK118" s="19"/>
      <c r="AL118" s="19"/>
      <c r="AM118" s="19"/>
      <c r="AN118" s="19"/>
      <c r="AO118" s="19"/>
      <c r="AP118" s="19"/>
      <c r="AQ118" s="19"/>
      <c r="AR118" s="19"/>
      <c r="AS118" s="19"/>
    </row>
    <row r="119" spans="1:45" ht="9.75">
      <c r="A119" s="1"/>
      <c r="B119" s="2"/>
      <c r="C119" s="5"/>
      <c r="D119" s="5"/>
      <c r="E119" s="5"/>
      <c r="F119" s="2"/>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42"/>
      <c r="AI119" s="19"/>
      <c r="AJ119" s="19"/>
      <c r="AK119" s="19"/>
      <c r="AL119" s="19"/>
      <c r="AM119" s="19"/>
      <c r="AN119" s="19"/>
      <c r="AO119" s="19"/>
      <c r="AP119" s="19"/>
      <c r="AQ119" s="19"/>
      <c r="AR119" s="19"/>
      <c r="AS119" s="19"/>
    </row>
    <row r="120" spans="1:45" ht="9.75">
      <c r="A120" s="4"/>
      <c r="B120" s="14"/>
      <c r="C120" s="2"/>
      <c r="D120" s="2"/>
      <c r="E120" s="2"/>
      <c r="F120" s="2"/>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42"/>
      <c r="AI120" s="19"/>
      <c r="AJ120" s="19"/>
      <c r="AK120" s="19"/>
      <c r="AL120" s="19"/>
      <c r="AM120" s="19"/>
      <c r="AN120" s="19"/>
      <c r="AO120" s="19"/>
      <c r="AP120" s="19"/>
      <c r="AQ120" s="19"/>
      <c r="AR120" s="19"/>
      <c r="AS120" s="19"/>
    </row>
    <row r="121" spans="1:45" ht="9.75">
      <c r="A121" s="1"/>
      <c r="B121" s="2"/>
      <c r="C121" s="3"/>
      <c r="D121" s="3"/>
      <c r="E121" s="3"/>
      <c r="F121" s="2"/>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42"/>
      <c r="AI121" s="19"/>
      <c r="AJ121" s="19"/>
      <c r="AK121" s="19"/>
      <c r="AL121" s="19"/>
      <c r="AM121" s="19"/>
      <c r="AN121" s="19"/>
      <c r="AO121" s="19"/>
      <c r="AP121" s="19"/>
      <c r="AQ121" s="19"/>
      <c r="AR121" s="19"/>
      <c r="AS121" s="19"/>
    </row>
    <row r="122" spans="1:45" ht="9.75">
      <c r="A122" s="4"/>
      <c r="B122" s="2"/>
      <c r="C122" s="3"/>
      <c r="D122" s="3"/>
      <c r="E122" s="3"/>
      <c r="F122" s="2"/>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42"/>
      <c r="AI122" s="19"/>
      <c r="AJ122" s="19"/>
      <c r="AK122" s="19"/>
      <c r="AL122" s="19"/>
      <c r="AM122" s="19"/>
      <c r="AN122" s="19"/>
      <c r="AO122" s="19"/>
      <c r="AP122" s="19"/>
      <c r="AQ122" s="19"/>
      <c r="AR122" s="19"/>
      <c r="AS122" s="19"/>
    </row>
    <row r="123" spans="1:45" ht="9.75">
      <c r="A123" s="1"/>
      <c r="B123" s="2"/>
      <c r="C123" s="2"/>
      <c r="D123" s="2"/>
      <c r="E123" s="2"/>
      <c r="F123" s="2"/>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42"/>
      <c r="AI123" s="19"/>
      <c r="AJ123" s="19"/>
      <c r="AK123" s="19"/>
      <c r="AL123" s="19"/>
      <c r="AM123" s="19"/>
      <c r="AN123" s="19"/>
      <c r="AO123" s="19"/>
      <c r="AP123" s="19"/>
      <c r="AQ123" s="19"/>
      <c r="AR123" s="19"/>
      <c r="AS123" s="19"/>
    </row>
    <row r="124" spans="1:45" ht="9.75">
      <c r="A124" s="1"/>
      <c r="B124" s="7"/>
      <c r="C124" s="3"/>
      <c r="D124" s="3"/>
      <c r="E124" s="3"/>
      <c r="F124" s="2"/>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42"/>
      <c r="AI124" s="19"/>
      <c r="AJ124" s="19"/>
      <c r="AK124" s="19"/>
      <c r="AL124" s="19"/>
      <c r="AM124" s="19"/>
      <c r="AN124" s="19"/>
      <c r="AO124" s="19"/>
      <c r="AP124" s="19"/>
      <c r="AQ124" s="19"/>
      <c r="AR124" s="19"/>
      <c r="AS124" s="19"/>
    </row>
    <row r="125" spans="1:45" ht="9.75">
      <c r="A125" s="1"/>
      <c r="B125" s="7"/>
      <c r="C125" s="3"/>
      <c r="D125" s="3"/>
      <c r="E125" s="3"/>
      <c r="F125" s="2"/>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42"/>
      <c r="AI125" s="19"/>
      <c r="AJ125" s="19"/>
      <c r="AK125" s="19"/>
      <c r="AL125" s="19"/>
      <c r="AM125" s="19"/>
      <c r="AN125" s="19"/>
      <c r="AO125" s="19"/>
      <c r="AP125" s="19"/>
      <c r="AQ125" s="19"/>
      <c r="AR125" s="19"/>
      <c r="AS125" s="19"/>
    </row>
    <row r="126" spans="1:45" ht="9.75">
      <c r="A126" s="1"/>
      <c r="B126" s="7"/>
      <c r="C126" s="2"/>
      <c r="D126" s="2"/>
      <c r="E126" s="2"/>
      <c r="F126" s="2"/>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42"/>
      <c r="AI126" s="19"/>
      <c r="AJ126" s="19"/>
      <c r="AK126" s="19"/>
      <c r="AL126" s="19"/>
      <c r="AM126" s="19"/>
      <c r="AN126" s="19"/>
      <c r="AO126" s="19"/>
      <c r="AP126" s="19"/>
      <c r="AQ126" s="19"/>
      <c r="AR126" s="19"/>
      <c r="AS126" s="19"/>
    </row>
    <row r="127" spans="1:45" ht="9.75">
      <c r="A127" s="1"/>
      <c r="B127" s="7"/>
      <c r="C127" s="3"/>
      <c r="D127" s="3"/>
      <c r="E127" s="3"/>
      <c r="F127" s="2"/>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42"/>
      <c r="AI127" s="19"/>
      <c r="AJ127" s="19"/>
      <c r="AK127" s="19"/>
      <c r="AL127" s="19"/>
      <c r="AM127" s="19"/>
      <c r="AN127" s="19"/>
      <c r="AO127" s="19"/>
      <c r="AP127" s="19"/>
      <c r="AQ127" s="19"/>
      <c r="AR127" s="19"/>
      <c r="AS127" s="19"/>
    </row>
    <row r="128" spans="1:45" ht="9.75">
      <c r="A128" s="1"/>
      <c r="B128" s="7"/>
      <c r="C128" s="3"/>
      <c r="D128" s="3"/>
      <c r="E128" s="3"/>
      <c r="F128" s="2"/>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42"/>
      <c r="AI128" s="19"/>
      <c r="AJ128" s="19"/>
      <c r="AK128" s="19"/>
      <c r="AL128" s="19"/>
      <c r="AM128" s="19"/>
      <c r="AN128" s="19"/>
      <c r="AO128" s="19"/>
      <c r="AP128" s="19"/>
      <c r="AQ128" s="19"/>
      <c r="AR128" s="19"/>
      <c r="AS128" s="19"/>
    </row>
    <row r="129" spans="1:45" ht="9.75">
      <c r="A129" s="4"/>
      <c r="B129" s="2"/>
      <c r="C129" s="2"/>
      <c r="D129" s="2"/>
      <c r="E129" s="2"/>
      <c r="F129" s="5"/>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42"/>
      <c r="AI129" s="19"/>
      <c r="AJ129" s="19"/>
      <c r="AK129" s="19"/>
      <c r="AL129" s="19"/>
      <c r="AM129" s="19"/>
      <c r="AN129" s="19"/>
      <c r="AO129" s="19"/>
      <c r="AP129" s="19"/>
      <c r="AQ129" s="19"/>
      <c r="AR129" s="19"/>
      <c r="AS129" s="19"/>
    </row>
    <row r="130" spans="1:45" ht="9.75">
      <c r="A130" s="1"/>
      <c r="B130" s="3"/>
      <c r="C130" s="3"/>
      <c r="D130" s="3"/>
      <c r="E130" s="3"/>
      <c r="F130" s="5"/>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42"/>
      <c r="AI130" s="19"/>
      <c r="AJ130" s="19"/>
      <c r="AK130" s="19"/>
      <c r="AL130" s="19"/>
      <c r="AM130" s="19"/>
      <c r="AN130" s="19"/>
      <c r="AO130" s="19"/>
      <c r="AP130" s="19"/>
      <c r="AQ130" s="19"/>
      <c r="AR130" s="19"/>
      <c r="AS130" s="19"/>
    </row>
    <row r="131" spans="1:45" ht="9.75">
      <c r="A131" s="4"/>
      <c r="B131" s="2"/>
      <c r="C131" s="2"/>
      <c r="D131" s="2"/>
      <c r="E131" s="2"/>
      <c r="F131" s="5"/>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42"/>
      <c r="AI131" s="19"/>
      <c r="AJ131" s="19"/>
      <c r="AK131" s="19"/>
      <c r="AL131" s="19"/>
      <c r="AM131" s="19"/>
      <c r="AN131" s="19"/>
      <c r="AO131" s="19"/>
      <c r="AP131" s="19"/>
      <c r="AQ131" s="19"/>
      <c r="AR131" s="19"/>
      <c r="AS131" s="19"/>
    </row>
    <row r="132" spans="1:45" ht="9.75">
      <c r="A132" s="4"/>
      <c r="B132" s="2"/>
      <c r="C132" s="2"/>
      <c r="D132" s="2"/>
      <c r="E132" s="2"/>
      <c r="F132" s="10"/>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42"/>
      <c r="AI132" s="19"/>
      <c r="AJ132" s="19"/>
      <c r="AK132" s="19"/>
      <c r="AL132" s="19"/>
      <c r="AM132" s="19"/>
      <c r="AN132" s="19"/>
      <c r="AO132" s="19"/>
      <c r="AP132" s="19"/>
      <c r="AQ132" s="19"/>
      <c r="AR132" s="19"/>
      <c r="AS132" s="19"/>
    </row>
    <row r="133" spans="1:45" ht="9.75">
      <c r="A133" s="1"/>
      <c r="B133" s="2"/>
      <c r="C133" s="2"/>
      <c r="D133" s="2"/>
      <c r="E133" s="2"/>
      <c r="F133" s="2"/>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42"/>
      <c r="AI133" s="19"/>
      <c r="AJ133" s="19"/>
      <c r="AK133" s="19"/>
      <c r="AL133" s="19"/>
      <c r="AM133" s="19"/>
      <c r="AN133" s="19"/>
      <c r="AO133" s="19"/>
      <c r="AP133" s="19"/>
      <c r="AQ133" s="19"/>
      <c r="AR133" s="19"/>
      <c r="AS133" s="19"/>
    </row>
    <row r="134" spans="1:45" ht="9.75">
      <c r="A134" s="1"/>
      <c r="B134" s="7"/>
      <c r="C134" s="2"/>
      <c r="D134" s="2"/>
      <c r="E134" s="2"/>
      <c r="F134" s="2"/>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42"/>
      <c r="AI134" s="19"/>
      <c r="AJ134" s="19"/>
      <c r="AK134" s="19"/>
      <c r="AL134" s="19"/>
      <c r="AM134" s="19"/>
      <c r="AN134" s="19"/>
      <c r="AO134" s="19"/>
      <c r="AP134" s="19"/>
      <c r="AQ134" s="19"/>
      <c r="AR134" s="19"/>
      <c r="AS134" s="19"/>
    </row>
    <row r="135" spans="1:45" ht="9.75">
      <c r="A135" s="1"/>
      <c r="B135" s="2"/>
      <c r="C135" s="3"/>
      <c r="D135" s="3"/>
      <c r="E135" s="3"/>
      <c r="F135" s="2"/>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42"/>
      <c r="AI135" s="19"/>
      <c r="AJ135" s="19"/>
      <c r="AK135" s="19"/>
      <c r="AL135" s="19"/>
      <c r="AM135" s="19"/>
      <c r="AN135" s="19"/>
      <c r="AO135" s="19"/>
      <c r="AP135" s="19"/>
      <c r="AQ135" s="19"/>
      <c r="AR135" s="19"/>
      <c r="AS135" s="19"/>
    </row>
    <row r="136" spans="1:45" ht="9.75">
      <c r="A136" s="4"/>
      <c r="B136" s="2"/>
      <c r="C136" s="2"/>
      <c r="D136" s="2"/>
      <c r="E136" s="2"/>
      <c r="F136" s="2"/>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42"/>
      <c r="AI136" s="19"/>
      <c r="AJ136" s="19"/>
      <c r="AK136" s="19"/>
      <c r="AL136" s="19"/>
      <c r="AM136" s="19"/>
      <c r="AN136" s="19"/>
      <c r="AO136" s="19"/>
      <c r="AP136" s="19"/>
      <c r="AQ136" s="19"/>
      <c r="AR136" s="19"/>
      <c r="AS136" s="19"/>
    </row>
    <row r="137" spans="1:45" ht="9.75">
      <c r="A137" s="1"/>
      <c r="B137" s="2"/>
      <c r="C137" s="2"/>
      <c r="D137" s="2"/>
      <c r="E137" s="2"/>
      <c r="F137" s="2"/>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42"/>
      <c r="AI137" s="19"/>
      <c r="AJ137" s="19"/>
      <c r="AK137" s="19"/>
      <c r="AL137" s="19"/>
      <c r="AM137" s="19"/>
      <c r="AN137" s="19"/>
      <c r="AO137" s="19"/>
      <c r="AP137" s="19"/>
      <c r="AQ137" s="19"/>
      <c r="AR137" s="19"/>
      <c r="AS137" s="19"/>
    </row>
    <row r="138" spans="1:45" ht="12">
      <c r="A138" s="1"/>
      <c r="B138" s="139"/>
      <c r="C138" s="32"/>
      <c r="D138" s="32"/>
      <c r="E138" s="32"/>
      <c r="F138" s="32"/>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42"/>
      <c r="AI138" s="19"/>
      <c r="AJ138" s="19"/>
      <c r="AK138" s="19"/>
      <c r="AL138" s="19"/>
      <c r="AM138" s="19"/>
      <c r="AN138" s="19"/>
      <c r="AO138" s="19"/>
      <c r="AP138" s="19"/>
      <c r="AQ138" s="19"/>
      <c r="AR138" s="19"/>
      <c r="AS138" s="19"/>
    </row>
    <row r="139" spans="1:45" ht="12">
      <c r="A139" s="1"/>
      <c r="B139" s="139"/>
      <c r="C139" s="32"/>
      <c r="D139" s="32"/>
      <c r="E139" s="32"/>
      <c r="F139" s="32"/>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42"/>
      <c r="AI139" s="19"/>
      <c r="AJ139" s="19"/>
      <c r="AK139" s="19"/>
      <c r="AL139" s="19"/>
      <c r="AM139" s="19"/>
      <c r="AN139" s="19"/>
      <c r="AO139" s="19"/>
      <c r="AP139" s="19"/>
      <c r="AQ139" s="19"/>
      <c r="AR139" s="19"/>
      <c r="AS139" s="19"/>
    </row>
    <row r="140" spans="1:45" ht="12">
      <c r="A140" s="1"/>
      <c r="B140" s="139"/>
      <c r="C140" s="32"/>
      <c r="D140" s="32"/>
      <c r="E140" s="32"/>
      <c r="F140" s="32"/>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42"/>
      <c r="AI140" s="19"/>
      <c r="AJ140" s="19"/>
      <c r="AK140" s="19"/>
      <c r="AL140" s="19"/>
      <c r="AM140" s="19"/>
      <c r="AN140" s="19"/>
      <c r="AO140" s="19"/>
      <c r="AP140" s="19"/>
      <c r="AQ140" s="19"/>
      <c r="AR140" s="19"/>
      <c r="AS140" s="19"/>
    </row>
    <row r="141" spans="1:45" ht="12">
      <c r="A141" s="4"/>
      <c r="B141" s="139"/>
      <c r="C141" s="32"/>
      <c r="D141" s="32"/>
      <c r="E141" s="32"/>
      <c r="F141" s="32"/>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42"/>
      <c r="AI141" s="19"/>
      <c r="AJ141" s="19"/>
      <c r="AK141" s="19"/>
      <c r="AL141" s="19"/>
      <c r="AM141" s="19"/>
      <c r="AN141" s="19"/>
      <c r="AO141" s="19"/>
      <c r="AP141" s="19"/>
      <c r="AQ141" s="19"/>
      <c r="AR141" s="19"/>
      <c r="AS141" s="19"/>
    </row>
    <row r="142" spans="1:45" ht="12">
      <c r="A142" s="1"/>
      <c r="B142" s="139"/>
      <c r="C142" s="32"/>
      <c r="D142" s="32"/>
      <c r="E142" s="32"/>
      <c r="F142" s="32"/>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42"/>
      <c r="AI142" s="19"/>
      <c r="AJ142" s="19"/>
      <c r="AK142" s="19"/>
      <c r="AL142" s="19"/>
      <c r="AM142" s="19"/>
      <c r="AN142" s="19"/>
      <c r="AO142" s="19"/>
      <c r="AP142" s="19"/>
      <c r="AQ142" s="19"/>
      <c r="AR142" s="19"/>
      <c r="AS142" s="19"/>
    </row>
    <row r="143" spans="1:45" ht="12">
      <c r="A143" s="1"/>
      <c r="B143" s="139"/>
      <c r="C143" s="32"/>
      <c r="D143" s="32"/>
      <c r="E143" s="32"/>
      <c r="F143" s="32"/>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42"/>
      <c r="AI143" s="19"/>
      <c r="AJ143" s="19"/>
      <c r="AK143" s="19"/>
      <c r="AL143" s="19"/>
      <c r="AM143" s="19"/>
      <c r="AN143" s="19"/>
      <c r="AO143" s="19"/>
      <c r="AP143" s="19"/>
      <c r="AQ143" s="19"/>
      <c r="AR143" s="19"/>
      <c r="AS143" s="19"/>
    </row>
    <row r="144" spans="1:45" ht="12">
      <c r="A144" s="1"/>
      <c r="B144" s="126"/>
      <c r="C144" s="32"/>
      <c r="D144" s="32"/>
      <c r="E144" s="32"/>
      <c r="F144" s="32"/>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42"/>
      <c r="AI144" s="19"/>
      <c r="AJ144" s="19"/>
      <c r="AK144" s="19"/>
      <c r="AL144" s="19"/>
      <c r="AM144" s="19"/>
      <c r="AN144" s="19"/>
      <c r="AO144" s="19"/>
      <c r="AP144" s="19"/>
      <c r="AQ144" s="19"/>
      <c r="AR144" s="19"/>
      <c r="AS144" s="19"/>
    </row>
    <row r="145" spans="1:45" ht="9.75">
      <c r="A145" s="1"/>
      <c r="B145" s="121"/>
      <c r="C145" s="3"/>
      <c r="D145" s="3"/>
      <c r="E145" s="3"/>
      <c r="F145" s="2"/>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42"/>
      <c r="AI145" s="19"/>
      <c r="AJ145" s="19"/>
      <c r="AK145" s="19"/>
      <c r="AL145" s="19"/>
      <c r="AM145" s="19"/>
      <c r="AN145" s="19"/>
      <c r="AO145" s="19"/>
      <c r="AP145" s="19"/>
      <c r="AQ145" s="19"/>
      <c r="AR145" s="19"/>
      <c r="AS145" s="19"/>
    </row>
    <row r="146" spans="1:45" ht="9.75">
      <c r="A146" s="1"/>
      <c r="C146" s="3"/>
      <c r="D146" s="3"/>
      <c r="E146" s="3"/>
      <c r="F146" s="2"/>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42"/>
      <c r="AI146" s="19"/>
      <c r="AJ146" s="19"/>
      <c r="AK146" s="19"/>
      <c r="AL146" s="19"/>
      <c r="AM146" s="19"/>
      <c r="AN146" s="19"/>
      <c r="AO146" s="19"/>
      <c r="AP146" s="19"/>
      <c r="AQ146" s="19"/>
      <c r="AR146" s="19"/>
      <c r="AS146" s="19"/>
    </row>
    <row r="147" spans="1:45" ht="9.75">
      <c r="A147" s="4"/>
      <c r="C147" s="3"/>
      <c r="D147" s="3"/>
      <c r="E147" s="3"/>
      <c r="F147" s="2"/>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42"/>
      <c r="AI147" s="19"/>
      <c r="AJ147" s="19"/>
      <c r="AK147" s="19"/>
      <c r="AL147" s="19"/>
      <c r="AM147" s="19"/>
      <c r="AN147" s="19"/>
      <c r="AO147" s="19"/>
      <c r="AP147" s="19"/>
      <c r="AQ147" s="19"/>
      <c r="AR147" s="19"/>
      <c r="AS147" s="19"/>
    </row>
    <row r="148" spans="1:45" ht="9.75">
      <c r="A148" s="4"/>
      <c r="C148" s="3"/>
      <c r="D148" s="3"/>
      <c r="E148" s="3"/>
      <c r="F148" s="2"/>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42"/>
      <c r="AI148" s="19"/>
      <c r="AJ148" s="19"/>
      <c r="AK148" s="19"/>
      <c r="AL148" s="19"/>
      <c r="AM148" s="19"/>
      <c r="AN148" s="19"/>
      <c r="AO148" s="19"/>
      <c r="AP148" s="19"/>
      <c r="AQ148" s="19"/>
      <c r="AR148" s="19"/>
      <c r="AS148" s="19"/>
    </row>
    <row r="149" spans="1:45" ht="9.75">
      <c r="A149" s="1"/>
      <c r="B149" s="13"/>
      <c r="C149" s="8"/>
      <c r="D149" s="8"/>
      <c r="E149" s="8"/>
      <c r="F149" s="2"/>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42"/>
      <c r="AI149" s="19"/>
      <c r="AJ149" s="19"/>
      <c r="AK149" s="19"/>
      <c r="AL149" s="19"/>
      <c r="AM149" s="19"/>
      <c r="AN149" s="19"/>
      <c r="AO149" s="19"/>
      <c r="AP149" s="19"/>
      <c r="AQ149" s="19"/>
      <c r="AR149" s="19"/>
      <c r="AS149" s="19"/>
    </row>
    <row r="150" spans="1:45" ht="9.75">
      <c r="A150" s="1"/>
      <c r="B150" s="13"/>
      <c r="C150" s="3"/>
      <c r="D150" s="3"/>
      <c r="E150" s="3"/>
      <c r="F150" s="2"/>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42"/>
      <c r="AI150" s="19"/>
      <c r="AJ150" s="19"/>
      <c r="AK150" s="19"/>
      <c r="AL150" s="19"/>
      <c r="AM150" s="19"/>
      <c r="AN150" s="19"/>
      <c r="AO150" s="19"/>
      <c r="AP150" s="19"/>
      <c r="AQ150" s="19"/>
      <c r="AR150" s="19"/>
      <c r="AS150" s="19"/>
    </row>
    <row r="151" spans="1:45" ht="9.75">
      <c r="A151" s="4"/>
      <c r="C151" s="3"/>
      <c r="D151" s="3"/>
      <c r="E151" s="3"/>
      <c r="F151" s="2"/>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42"/>
      <c r="AI151" s="19"/>
      <c r="AJ151" s="19"/>
      <c r="AK151" s="19"/>
      <c r="AL151" s="19"/>
      <c r="AM151" s="19"/>
      <c r="AN151" s="19"/>
      <c r="AO151" s="19"/>
      <c r="AP151" s="19"/>
      <c r="AQ151" s="19"/>
      <c r="AR151" s="19"/>
      <c r="AS151" s="19"/>
    </row>
    <row r="152" spans="1:45" ht="9.75">
      <c r="A152" s="1"/>
      <c r="C152" s="3"/>
      <c r="D152" s="3"/>
      <c r="E152" s="3"/>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42"/>
      <c r="AI152" s="19"/>
      <c r="AJ152" s="19"/>
      <c r="AK152" s="19"/>
      <c r="AL152" s="19"/>
      <c r="AM152" s="19"/>
      <c r="AN152" s="19"/>
      <c r="AO152" s="19"/>
      <c r="AP152" s="19"/>
      <c r="AQ152" s="19"/>
      <c r="AR152" s="19"/>
      <c r="AS152" s="19"/>
    </row>
    <row r="153" spans="1:45" ht="9.75">
      <c r="A153" s="1"/>
      <c r="C153" s="3"/>
      <c r="D153" s="3"/>
      <c r="E153" s="3"/>
      <c r="F153" s="15"/>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42"/>
      <c r="AI153" s="19"/>
      <c r="AJ153" s="19"/>
      <c r="AK153" s="19"/>
      <c r="AL153" s="19"/>
      <c r="AM153" s="19"/>
      <c r="AN153" s="19"/>
      <c r="AO153" s="19"/>
      <c r="AP153" s="19"/>
      <c r="AQ153" s="19"/>
      <c r="AR153" s="19"/>
      <c r="AS153" s="19"/>
    </row>
    <row r="154" spans="1:45" ht="9.75">
      <c r="A154" s="4"/>
      <c r="C154" s="3"/>
      <c r="D154" s="3"/>
      <c r="E154" s="3"/>
      <c r="F154" s="7"/>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42"/>
      <c r="AI154" s="19"/>
      <c r="AJ154" s="19"/>
      <c r="AK154" s="19"/>
      <c r="AL154" s="19"/>
      <c r="AM154" s="19"/>
      <c r="AN154" s="19"/>
      <c r="AO154" s="19"/>
      <c r="AP154" s="19"/>
      <c r="AQ154" s="19"/>
      <c r="AR154" s="19"/>
      <c r="AS154" s="19"/>
    </row>
    <row r="155" spans="1:45" ht="9.75">
      <c r="A155" s="1"/>
      <c r="C155" s="3"/>
      <c r="D155" s="3"/>
      <c r="E155" s="3"/>
      <c r="F155" s="7"/>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42"/>
      <c r="AI155" s="19"/>
      <c r="AJ155" s="19"/>
      <c r="AK155" s="19"/>
      <c r="AL155" s="19"/>
      <c r="AM155" s="19"/>
      <c r="AN155" s="19"/>
      <c r="AO155" s="19"/>
      <c r="AP155" s="19"/>
      <c r="AQ155" s="19"/>
      <c r="AR155" s="19"/>
      <c r="AS155" s="19"/>
    </row>
    <row r="156" spans="1:45" ht="9.75">
      <c r="A156" s="4"/>
      <c r="B156" s="2"/>
      <c r="C156" s="2"/>
      <c r="D156" s="2"/>
      <c r="E156" s="2"/>
      <c r="F156" s="15"/>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42"/>
      <c r="AI156" s="19"/>
      <c r="AJ156" s="19"/>
      <c r="AK156" s="19"/>
      <c r="AL156" s="19"/>
      <c r="AM156" s="19"/>
      <c r="AN156" s="19"/>
      <c r="AO156" s="19"/>
      <c r="AP156" s="19"/>
      <c r="AQ156" s="19"/>
      <c r="AR156" s="19"/>
      <c r="AS156" s="19"/>
    </row>
    <row r="157" spans="1:45" ht="9.75">
      <c r="A157" s="1"/>
      <c r="B157" s="2"/>
      <c r="C157" s="2"/>
      <c r="D157" s="2"/>
      <c r="E157" s="2"/>
      <c r="F157" s="2"/>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42"/>
      <c r="AI157" s="19"/>
      <c r="AJ157" s="19"/>
      <c r="AK157" s="19"/>
      <c r="AL157" s="19"/>
      <c r="AM157" s="19"/>
      <c r="AN157" s="19"/>
      <c r="AO157" s="19"/>
      <c r="AP157" s="19"/>
      <c r="AQ157" s="19"/>
      <c r="AR157" s="19"/>
      <c r="AS157" s="19"/>
    </row>
    <row r="158" spans="1:45" ht="9.75">
      <c r="A158" s="1"/>
      <c r="B158" s="2"/>
      <c r="C158" s="2"/>
      <c r="D158" s="2"/>
      <c r="E158" s="2"/>
      <c r="F158" s="2"/>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42"/>
      <c r="AI158" s="19"/>
      <c r="AJ158" s="19"/>
      <c r="AK158" s="19"/>
      <c r="AL158" s="19"/>
      <c r="AM158" s="19"/>
      <c r="AN158" s="19"/>
      <c r="AO158" s="19"/>
      <c r="AP158" s="19"/>
      <c r="AQ158" s="19"/>
      <c r="AR158" s="19"/>
      <c r="AS158" s="19"/>
    </row>
    <row r="159" spans="1:45" ht="9.75">
      <c r="A159" s="1"/>
      <c r="B159" s="7"/>
      <c r="C159" s="7"/>
      <c r="D159" s="7"/>
      <c r="E159" s="7"/>
      <c r="F159" s="2"/>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42"/>
      <c r="AI159" s="19"/>
      <c r="AJ159" s="19"/>
      <c r="AK159" s="19"/>
      <c r="AL159" s="19"/>
      <c r="AM159" s="19"/>
      <c r="AN159" s="19"/>
      <c r="AO159" s="19"/>
      <c r="AP159" s="19"/>
      <c r="AQ159" s="19"/>
      <c r="AR159" s="19"/>
      <c r="AS159" s="19"/>
    </row>
    <row r="160" spans="1:45" ht="9.75">
      <c r="A160" s="1"/>
      <c r="B160" s="2"/>
      <c r="C160" s="3"/>
      <c r="D160" s="3"/>
      <c r="E160" s="3"/>
      <c r="F160" s="2"/>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42"/>
      <c r="AI160" s="19"/>
      <c r="AJ160" s="19"/>
      <c r="AK160" s="19"/>
      <c r="AL160" s="19"/>
      <c r="AM160" s="19"/>
      <c r="AN160" s="19"/>
      <c r="AO160" s="19"/>
      <c r="AP160" s="19"/>
      <c r="AQ160" s="19"/>
      <c r="AR160" s="19"/>
      <c r="AS160" s="19"/>
    </row>
    <row r="161" spans="1:45" ht="9.75">
      <c r="A161" s="4"/>
      <c r="B161" s="2"/>
      <c r="C161" s="2"/>
      <c r="D161" s="2"/>
      <c r="E161" s="2"/>
      <c r="F161" s="10"/>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42"/>
      <c r="AI161" s="19"/>
      <c r="AJ161" s="19"/>
      <c r="AK161" s="19"/>
      <c r="AL161" s="19"/>
      <c r="AM161" s="19"/>
      <c r="AN161" s="19"/>
      <c r="AO161" s="19"/>
      <c r="AP161" s="19"/>
      <c r="AQ161" s="19"/>
      <c r="AR161" s="19"/>
      <c r="AS161" s="19"/>
    </row>
    <row r="162" spans="1:45" ht="9.75">
      <c r="A162" s="4"/>
      <c r="F162" s="2"/>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42"/>
      <c r="AI162" s="19"/>
      <c r="AJ162" s="19"/>
      <c r="AK162" s="19"/>
      <c r="AL162" s="19"/>
      <c r="AM162" s="19"/>
      <c r="AN162" s="19"/>
      <c r="AO162" s="19"/>
      <c r="AP162" s="19"/>
      <c r="AQ162" s="19"/>
      <c r="AR162" s="19"/>
      <c r="AS162" s="19"/>
    </row>
    <row r="163" spans="1:45" ht="9.75">
      <c r="A163" s="1"/>
      <c r="C163" s="3"/>
      <c r="D163" s="3"/>
      <c r="E163" s="3"/>
      <c r="F163" s="2"/>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42"/>
      <c r="AI163" s="19"/>
      <c r="AJ163" s="19"/>
      <c r="AK163" s="19"/>
      <c r="AL163" s="19"/>
      <c r="AM163" s="19"/>
      <c r="AN163" s="19"/>
      <c r="AO163" s="19"/>
      <c r="AP163" s="19"/>
      <c r="AQ163" s="19"/>
      <c r="AR163" s="19"/>
      <c r="AS163" s="19"/>
    </row>
    <row r="164" spans="1:45" ht="9.75">
      <c r="A164" s="4"/>
      <c r="F164" s="2"/>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42"/>
      <c r="AI164" s="19"/>
      <c r="AJ164" s="19"/>
      <c r="AK164" s="19"/>
      <c r="AL164" s="19"/>
      <c r="AM164" s="19"/>
      <c r="AN164" s="19"/>
      <c r="AO164" s="19"/>
      <c r="AP164" s="19"/>
      <c r="AQ164" s="19"/>
      <c r="AR164" s="19"/>
      <c r="AS164" s="19"/>
    </row>
    <row r="165" spans="1:45" ht="9.75">
      <c r="A165" s="4"/>
      <c r="F165" s="10"/>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42"/>
      <c r="AI165" s="19"/>
      <c r="AJ165" s="19"/>
      <c r="AK165" s="19"/>
      <c r="AL165" s="19"/>
      <c r="AM165" s="19"/>
      <c r="AN165" s="19"/>
      <c r="AO165" s="19"/>
      <c r="AP165" s="19"/>
      <c r="AQ165" s="19"/>
      <c r="AR165" s="19"/>
      <c r="AS165" s="19"/>
    </row>
    <row r="166" spans="1:45" ht="9.75">
      <c r="A166" s="4"/>
      <c r="F166" s="2"/>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42"/>
      <c r="AI166" s="19"/>
      <c r="AJ166" s="19"/>
      <c r="AK166" s="19"/>
      <c r="AL166" s="19"/>
      <c r="AM166" s="19"/>
      <c r="AN166" s="19"/>
      <c r="AO166" s="19"/>
      <c r="AP166" s="19"/>
      <c r="AQ166" s="19"/>
      <c r="AR166" s="19"/>
      <c r="AS166" s="19"/>
    </row>
    <row r="167" spans="1:45" ht="9.75">
      <c r="A167" s="4"/>
      <c r="F167" s="2"/>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42"/>
      <c r="AI167" s="19"/>
      <c r="AJ167" s="19"/>
      <c r="AK167" s="19"/>
      <c r="AL167" s="19"/>
      <c r="AM167" s="19"/>
      <c r="AN167" s="19"/>
      <c r="AO167" s="19"/>
      <c r="AP167" s="19"/>
      <c r="AQ167" s="19"/>
      <c r="AR167" s="19"/>
      <c r="AS167" s="19"/>
    </row>
    <row r="168" spans="1:45" ht="9.75">
      <c r="A168" s="1"/>
      <c r="B168" s="5"/>
      <c r="C168" s="3"/>
      <c r="D168" s="3"/>
      <c r="E168" s="3"/>
      <c r="F168" s="2"/>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42"/>
      <c r="AI168" s="19"/>
      <c r="AJ168" s="19"/>
      <c r="AK168" s="19"/>
      <c r="AL168" s="19"/>
      <c r="AM168" s="19"/>
      <c r="AN168" s="19"/>
      <c r="AO168" s="19"/>
      <c r="AP168" s="19"/>
      <c r="AQ168" s="19"/>
      <c r="AR168" s="19"/>
      <c r="AS168" s="19"/>
    </row>
    <row r="169" spans="1:45" ht="9.75">
      <c r="A169" s="4"/>
      <c r="B169" s="2"/>
      <c r="C169" s="2"/>
      <c r="D169" s="2"/>
      <c r="E169" s="2"/>
      <c r="F169" s="2"/>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42"/>
      <c r="AI169" s="19"/>
      <c r="AJ169" s="19"/>
      <c r="AK169" s="19"/>
      <c r="AL169" s="19"/>
      <c r="AM169" s="19"/>
      <c r="AN169" s="19"/>
      <c r="AO169" s="19"/>
      <c r="AP169" s="19"/>
      <c r="AQ169" s="19"/>
      <c r="AR169" s="19"/>
      <c r="AS169" s="19"/>
    </row>
    <row r="170" spans="1:45" ht="9.75">
      <c r="A170" s="1"/>
      <c r="B170" s="2"/>
      <c r="C170" s="2"/>
      <c r="D170" s="2"/>
      <c r="E170" s="2"/>
      <c r="F170" s="12"/>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42"/>
      <c r="AI170" s="19"/>
      <c r="AJ170" s="19"/>
      <c r="AK170" s="19"/>
      <c r="AL170" s="19"/>
      <c r="AM170" s="19"/>
      <c r="AN170" s="19"/>
      <c r="AO170" s="19"/>
      <c r="AP170" s="19"/>
      <c r="AQ170" s="19"/>
      <c r="AR170" s="19"/>
      <c r="AS170" s="19"/>
    </row>
    <row r="171" spans="1:45" ht="9.75">
      <c r="A171" s="1"/>
      <c r="B171" s="2"/>
      <c r="C171" s="2"/>
      <c r="D171" s="2"/>
      <c r="E171" s="2"/>
      <c r="F171" s="2"/>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42"/>
      <c r="AI171" s="19"/>
      <c r="AJ171" s="19"/>
      <c r="AK171" s="19"/>
      <c r="AL171" s="19"/>
      <c r="AM171" s="19"/>
      <c r="AN171" s="19"/>
      <c r="AO171" s="19"/>
      <c r="AP171" s="19"/>
      <c r="AQ171" s="19"/>
      <c r="AR171" s="19"/>
      <c r="AS171" s="19"/>
    </row>
    <row r="172" spans="1:45" ht="9.75">
      <c r="A172" s="1"/>
      <c r="B172" s="5"/>
      <c r="C172" s="5"/>
      <c r="D172" s="5"/>
      <c r="E172" s="5"/>
      <c r="F172" s="2"/>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42"/>
      <c r="AI172" s="19"/>
      <c r="AJ172" s="19"/>
      <c r="AK172" s="19"/>
      <c r="AL172" s="19"/>
      <c r="AM172" s="19"/>
      <c r="AN172" s="19"/>
      <c r="AO172" s="19"/>
      <c r="AP172" s="19"/>
      <c r="AQ172" s="19"/>
      <c r="AR172" s="19"/>
      <c r="AS172" s="19"/>
    </row>
    <row r="173" spans="1:45" ht="9.75">
      <c r="A173" s="1"/>
      <c r="B173" s="2"/>
      <c r="C173" s="3"/>
      <c r="D173" s="3"/>
      <c r="E173" s="3"/>
      <c r="F173" s="2"/>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42"/>
      <c r="AI173" s="19"/>
      <c r="AJ173" s="19"/>
      <c r="AK173" s="19"/>
      <c r="AL173" s="19"/>
      <c r="AM173" s="19"/>
      <c r="AN173" s="19"/>
      <c r="AO173" s="19"/>
      <c r="AP173" s="19"/>
      <c r="AQ173" s="19"/>
      <c r="AR173" s="19"/>
      <c r="AS173" s="19"/>
    </row>
    <row r="174" spans="6:45" ht="9.75">
      <c r="F174" s="2"/>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42"/>
      <c r="AI174" s="19"/>
      <c r="AJ174" s="19"/>
      <c r="AK174" s="19"/>
      <c r="AL174" s="19"/>
      <c r="AM174" s="19"/>
      <c r="AN174" s="19"/>
      <c r="AO174" s="19"/>
      <c r="AP174" s="19"/>
      <c r="AQ174" s="19"/>
      <c r="AR174" s="19"/>
      <c r="AS174" s="19"/>
    </row>
    <row r="175" spans="6:45" ht="9.75">
      <c r="F175" s="2"/>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42"/>
      <c r="AI175" s="19"/>
      <c r="AJ175" s="19"/>
      <c r="AK175" s="19"/>
      <c r="AL175" s="19"/>
      <c r="AM175" s="19"/>
      <c r="AN175" s="19"/>
      <c r="AO175" s="19"/>
      <c r="AP175" s="19"/>
      <c r="AQ175" s="19"/>
      <c r="AR175" s="19"/>
      <c r="AS175" s="19"/>
    </row>
    <row r="176" spans="6:45" ht="9.75">
      <c r="F176" s="2"/>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42"/>
      <c r="AI176" s="19"/>
      <c r="AJ176" s="19"/>
      <c r="AK176" s="19"/>
      <c r="AL176" s="19"/>
      <c r="AM176" s="19"/>
      <c r="AN176" s="19"/>
      <c r="AO176" s="19"/>
      <c r="AP176" s="19"/>
      <c r="AQ176" s="19"/>
      <c r="AR176" s="19"/>
      <c r="AS176" s="19"/>
    </row>
    <row r="177" spans="6:45" ht="9.75">
      <c r="F177" s="2"/>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42"/>
      <c r="AI177" s="19"/>
      <c r="AJ177" s="19"/>
      <c r="AK177" s="19"/>
      <c r="AL177" s="19"/>
      <c r="AM177" s="19"/>
      <c r="AN177" s="19"/>
      <c r="AO177" s="19"/>
      <c r="AP177" s="19"/>
      <c r="AQ177" s="19"/>
      <c r="AR177" s="19"/>
      <c r="AS177" s="19"/>
    </row>
    <row r="178" spans="1:45" ht="9.75">
      <c r="A178" s="1"/>
      <c r="B178" s="2"/>
      <c r="C178" s="2"/>
      <c r="D178" s="2"/>
      <c r="E178" s="2"/>
      <c r="F178" s="8"/>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42"/>
      <c r="AI178" s="19"/>
      <c r="AJ178" s="19"/>
      <c r="AK178" s="19"/>
      <c r="AL178" s="19"/>
      <c r="AM178" s="19"/>
      <c r="AN178" s="19"/>
      <c r="AO178" s="19"/>
      <c r="AP178" s="19"/>
      <c r="AQ178" s="19"/>
      <c r="AR178" s="19"/>
      <c r="AS178" s="19"/>
    </row>
    <row r="179" spans="1:45" ht="9.75">
      <c r="A179" s="1"/>
      <c r="B179" s="2"/>
      <c r="C179" s="2"/>
      <c r="D179" s="2"/>
      <c r="E179" s="2"/>
      <c r="F179" s="2"/>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42"/>
      <c r="AI179" s="19"/>
      <c r="AJ179" s="19"/>
      <c r="AK179" s="19"/>
      <c r="AL179" s="19"/>
      <c r="AM179" s="19"/>
      <c r="AN179" s="19"/>
      <c r="AO179" s="19"/>
      <c r="AP179" s="19"/>
      <c r="AQ179" s="19"/>
      <c r="AR179" s="19"/>
      <c r="AS179" s="19"/>
    </row>
    <row r="180" spans="1:45" ht="9.75">
      <c r="A180" s="1"/>
      <c r="B180" s="2"/>
      <c r="C180" s="3"/>
      <c r="D180" s="3"/>
      <c r="E180" s="3"/>
      <c r="F180" s="2"/>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42"/>
      <c r="AI180" s="19"/>
      <c r="AJ180" s="19"/>
      <c r="AK180" s="19"/>
      <c r="AL180" s="19"/>
      <c r="AM180" s="19"/>
      <c r="AN180" s="19"/>
      <c r="AO180" s="19"/>
      <c r="AP180" s="19"/>
      <c r="AQ180" s="19"/>
      <c r="AR180" s="19"/>
      <c r="AS180" s="19"/>
    </row>
    <row r="181" spans="1:45" ht="9.75">
      <c r="A181" s="1"/>
      <c r="B181" s="2"/>
      <c r="C181" s="3"/>
      <c r="D181" s="3"/>
      <c r="E181" s="3"/>
      <c r="F181" s="8"/>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42"/>
      <c r="AI181" s="19"/>
      <c r="AJ181" s="19"/>
      <c r="AK181" s="19"/>
      <c r="AL181" s="19"/>
      <c r="AM181" s="19"/>
      <c r="AN181" s="19"/>
      <c r="AO181" s="19"/>
      <c r="AP181" s="19"/>
      <c r="AQ181" s="19"/>
      <c r="AR181" s="19"/>
      <c r="AS181" s="19"/>
    </row>
    <row r="182" spans="1:45" ht="9.75">
      <c r="A182" s="1"/>
      <c r="F182" s="2"/>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42"/>
      <c r="AI182" s="19"/>
      <c r="AJ182" s="19"/>
      <c r="AK182" s="19"/>
      <c r="AL182" s="19"/>
      <c r="AM182" s="19"/>
      <c r="AN182" s="19"/>
      <c r="AO182" s="19"/>
      <c r="AP182" s="19"/>
      <c r="AQ182" s="19"/>
      <c r="AR182" s="19"/>
      <c r="AS182" s="19"/>
    </row>
    <row r="183" spans="1:45" ht="9.75">
      <c r="A183" s="4"/>
      <c r="F183" s="2"/>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42"/>
      <c r="AI183" s="19"/>
      <c r="AJ183" s="19"/>
      <c r="AK183" s="19"/>
      <c r="AL183" s="19"/>
      <c r="AM183" s="19"/>
      <c r="AN183" s="19"/>
      <c r="AO183" s="19"/>
      <c r="AP183" s="19"/>
      <c r="AQ183" s="19"/>
      <c r="AR183" s="19"/>
      <c r="AS183" s="19"/>
    </row>
    <row r="184" spans="1:45" ht="9.75">
      <c r="A184" s="1"/>
      <c r="B184" s="2"/>
      <c r="C184" s="2"/>
      <c r="D184" s="2"/>
      <c r="E184" s="2"/>
      <c r="F184" s="2"/>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42"/>
      <c r="AI184" s="19"/>
      <c r="AJ184" s="19"/>
      <c r="AK184" s="19"/>
      <c r="AL184" s="19"/>
      <c r="AM184" s="19"/>
      <c r="AN184" s="19"/>
      <c r="AO184" s="19"/>
      <c r="AP184" s="19"/>
      <c r="AQ184" s="19"/>
      <c r="AR184" s="19"/>
      <c r="AS184" s="19"/>
    </row>
    <row r="185" spans="1:45" ht="9.75">
      <c r="A185" s="1"/>
      <c r="C185" s="2"/>
      <c r="D185" s="2"/>
      <c r="E185" s="2"/>
      <c r="F185" s="2"/>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42"/>
      <c r="AI185" s="19"/>
      <c r="AJ185" s="19"/>
      <c r="AK185" s="19"/>
      <c r="AL185" s="19"/>
      <c r="AM185" s="19"/>
      <c r="AN185" s="19"/>
      <c r="AO185" s="19"/>
      <c r="AP185" s="19"/>
      <c r="AQ185" s="19"/>
      <c r="AR185" s="19"/>
      <c r="AS185" s="19"/>
    </row>
    <row r="186" spans="1:45" ht="9.75">
      <c r="A186" s="1"/>
      <c r="C186" s="2"/>
      <c r="D186" s="2"/>
      <c r="E186" s="2"/>
      <c r="F186" s="2"/>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42"/>
      <c r="AI186" s="19"/>
      <c r="AJ186" s="19"/>
      <c r="AK186" s="19"/>
      <c r="AL186" s="19"/>
      <c r="AM186" s="19"/>
      <c r="AN186" s="19"/>
      <c r="AO186" s="19"/>
      <c r="AP186" s="19"/>
      <c r="AQ186" s="19"/>
      <c r="AR186" s="19"/>
      <c r="AS186" s="19"/>
    </row>
    <row r="187" spans="1:45" ht="9.75">
      <c r="A187" s="1"/>
      <c r="C187" s="2"/>
      <c r="D187" s="2"/>
      <c r="E187" s="2"/>
      <c r="F187" s="7"/>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42"/>
      <c r="AI187" s="19"/>
      <c r="AJ187" s="19"/>
      <c r="AK187" s="19"/>
      <c r="AL187" s="19"/>
      <c r="AM187" s="19"/>
      <c r="AN187" s="19"/>
      <c r="AO187" s="19"/>
      <c r="AP187" s="19"/>
      <c r="AQ187" s="19"/>
      <c r="AR187" s="19"/>
      <c r="AS187" s="19"/>
    </row>
    <row r="188" spans="1:45" ht="9.75">
      <c r="A188" s="1"/>
      <c r="C188" s="2"/>
      <c r="D188" s="2"/>
      <c r="E188" s="2"/>
      <c r="F188" s="7"/>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42"/>
      <c r="AI188" s="19"/>
      <c r="AJ188" s="19"/>
      <c r="AK188" s="19"/>
      <c r="AL188" s="19"/>
      <c r="AM188" s="19"/>
      <c r="AN188" s="19"/>
      <c r="AO188" s="19"/>
      <c r="AP188" s="19"/>
      <c r="AQ188" s="19"/>
      <c r="AR188" s="19"/>
      <c r="AS188" s="19"/>
    </row>
    <row r="189" spans="1:45" ht="9.75">
      <c r="A189" s="1"/>
      <c r="C189" s="2"/>
      <c r="D189" s="2"/>
      <c r="E189" s="2"/>
      <c r="F189" s="2"/>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42"/>
      <c r="AI189" s="19"/>
      <c r="AJ189" s="19"/>
      <c r="AK189" s="19"/>
      <c r="AL189" s="19"/>
      <c r="AM189" s="19"/>
      <c r="AN189" s="19"/>
      <c r="AO189" s="19"/>
      <c r="AP189" s="19"/>
      <c r="AQ189" s="19"/>
      <c r="AR189" s="19"/>
      <c r="AS189" s="19"/>
    </row>
    <row r="190" spans="1:45" ht="9.75">
      <c r="A190" s="1"/>
      <c r="C190" s="2"/>
      <c r="D190" s="2"/>
      <c r="E190" s="2"/>
      <c r="F190" s="2"/>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42"/>
      <c r="AI190" s="19"/>
      <c r="AJ190" s="19"/>
      <c r="AK190" s="19"/>
      <c r="AL190" s="19"/>
      <c r="AM190" s="19"/>
      <c r="AN190" s="19"/>
      <c r="AO190" s="19"/>
      <c r="AP190" s="19"/>
      <c r="AQ190" s="19"/>
      <c r="AR190" s="19"/>
      <c r="AS190" s="19"/>
    </row>
    <row r="191" spans="1:45" ht="9.75">
      <c r="A191" s="1"/>
      <c r="C191" s="2"/>
      <c r="D191" s="2"/>
      <c r="E191" s="2"/>
      <c r="F191" s="2"/>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42"/>
      <c r="AI191" s="19"/>
      <c r="AJ191" s="19"/>
      <c r="AK191" s="19"/>
      <c r="AL191" s="19"/>
      <c r="AM191" s="19"/>
      <c r="AN191" s="19"/>
      <c r="AO191" s="19"/>
      <c r="AP191" s="19"/>
      <c r="AQ191" s="19"/>
      <c r="AR191" s="19"/>
      <c r="AS191" s="19"/>
    </row>
    <row r="192" spans="1:45" ht="9.75">
      <c r="A192" s="1"/>
      <c r="C192" s="2"/>
      <c r="D192" s="2"/>
      <c r="E192" s="2"/>
      <c r="F192" s="2"/>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42"/>
      <c r="AI192" s="19"/>
      <c r="AJ192" s="19"/>
      <c r="AK192" s="19"/>
      <c r="AL192" s="19"/>
      <c r="AM192" s="19"/>
      <c r="AN192" s="19"/>
      <c r="AO192" s="19"/>
      <c r="AP192" s="19"/>
      <c r="AQ192" s="19"/>
      <c r="AR192" s="19"/>
      <c r="AS192" s="19"/>
    </row>
    <row r="193" spans="1:45" ht="9.75">
      <c r="A193" s="1"/>
      <c r="C193" s="2"/>
      <c r="D193" s="2"/>
      <c r="E193" s="2"/>
      <c r="F193" s="2"/>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42"/>
      <c r="AI193" s="19"/>
      <c r="AJ193" s="19"/>
      <c r="AK193" s="19"/>
      <c r="AL193" s="19"/>
      <c r="AM193" s="19"/>
      <c r="AN193" s="19"/>
      <c r="AO193" s="19"/>
      <c r="AP193" s="19"/>
      <c r="AQ193" s="19"/>
      <c r="AR193" s="19"/>
      <c r="AS193" s="19"/>
    </row>
    <row r="194" spans="1:45" ht="9.75">
      <c r="A194" s="1"/>
      <c r="B194" s="9"/>
      <c r="C194" s="2"/>
      <c r="D194" s="2"/>
      <c r="E194" s="2"/>
      <c r="F194" s="2"/>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42"/>
      <c r="AI194" s="19"/>
      <c r="AJ194" s="19"/>
      <c r="AK194" s="19"/>
      <c r="AL194" s="19"/>
      <c r="AM194" s="19"/>
      <c r="AN194" s="19"/>
      <c r="AO194" s="19"/>
      <c r="AP194" s="19"/>
      <c r="AQ194" s="19"/>
      <c r="AR194" s="19"/>
      <c r="AS194" s="19"/>
    </row>
    <row r="195" spans="1:6" ht="9.75">
      <c r="A195" s="4"/>
      <c r="B195" s="9"/>
      <c r="C195" s="2"/>
      <c r="D195" s="2"/>
      <c r="E195" s="2"/>
      <c r="F195" s="2"/>
    </row>
    <row r="196" spans="1:6" ht="9.75">
      <c r="A196" s="1"/>
      <c r="C196" s="11"/>
      <c r="D196" s="11"/>
      <c r="E196" s="11"/>
      <c r="F196" s="2"/>
    </row>
    <row r="197" spans="1:6" ht="9.75">
      <c r="A197" s="1"/>
      <c r="B197" s="2"/>
      <c r="C197" s="2"/>
      <c r="D197" s="2"/>
      <c r="E197" s="2"/>
      <c r="F197" s="2"/>
    </row>
    <row r="198" spans="1:6" ht="9.75">
      <c r="A198" s="1"/>
      <c r="B198" s="2"/>
      <c r="C198" s="3"/>
      <c r="D198" s="3"/>
      <c r="E198" s="3"/>
      <c r="F198" s="2"/>
    </row>
    <row r="199" spans="1:6" ht="9.75">
      <c r="A199" s="4"/>
      <c r="B199" s="13"/>
      <c r="C199" s="8"/>
      <c r="D199" s="8"/>
      <c r="E199" s="8"/>
      <c r="F199" s="2"/>
    </row>
    <row r="200" spans="1:6" ht="9.75">
      <c r="A200" s="1"/>
      <c r="B200" s="13"/>
      <c r="C200" s="8"/>
      <c r="D200" s="8"/>
      <c r="E200" s="8"/>
      <c r="F200" s="2"/>
    </row>
    <row r="201" spans="1:6" ht="9.75">
      <c r="A201" s="1"/>
      <c r="B201" s="13"/>
      <c r="C201" s="3"/>
      <c r="D201" s="3"/>
      <c r="E201" s="3"/>
      <c r="F201" s="2"/>
    </row>
    <row r="202" spans="1:5" ht="9.75">
      <c r="A202" s="4"/>
      <c r="B202" s="13"/>
      <c r="C202" s="8"/>
      <c r="D202" s="8"/>
      <c r="E202" s="8"/>
    </row>
    <row r="203" spans="1:5" ht="9.75">
      <c r="A203" s="4"/>
      <c r="B203" s="13"/>
      <c r="C203" s="8"/>
      <c r="D203" s="8"/>
      <c r="E203" s="8"/>
    </row>
    <row r="204" spans="1:5" ht="9.75">
      <c r="A204" s="1"/>
      <c r="B204" s="13"/>
      <c r="C204" s="8"/>
      <c r="D204" s="8"/>
      <c r="E204" s="8"/>
    </row>
    <row r="205" spans="1:5" ht="9.75">
      <c r="A205" s="1"/>
      <c r="B205" s="13"/>
      <c r="C205" s="3"/>
      <c r="D205" s="3"/>
      <c r="E205" s="3"/>
    </row>
    <row r="206" spans="1:5" ht="9.75">
      <c r="A206" s="4"/>
      <c r="B206" s="13"/>
      <c r="C206" s="8"/>
      <c r="D206" s="8"/>
      <c r="E206" s="8"/>
    </row>
    <row r="207" spans="1:5" ht="9.75">
      <c r="A207" s="1"/>
      <c r="C207" s="3"/>
      <c r="D207" s="3"/>
      <c r="E207" s="3"/>
    </row>
    <row r="208" spans="1:5" ht="9.75">
      <c r="A208" s="4"/>
      <c r="B208" s="2"/>
      <c r="C208" s="2"/>
      <c r="D208" s="2"/>
      <c r="E208" s="2"/>
    </row>
    <row r="209" spans="1:5" ht="9.75">
      <c r="A209" s="1"/>
      <c r="B209" s="2"/>
      <c r="C209" s="2"/>
      <c r="D209" s="2"/>
      <c r="E209" s="2"/>
    </row>
    <row r="210" spans="1:5" ht="9.75">
      <c r="A210" s="1"/>
      <c r="B210" s="2"/>
      <c r="C210" s="2"/>
      <c r="D210" s="2"/>
      <c r="E210" s="2"/>
    </row>
    <row r="211" spans="1:5" ht="9.75">
      <c r="A211" s="1"/>
      <c r="B211" s="7"/>
      <c r="C211" s="7"/>
      <c r="D211" s="7"/>
      <c r="E211" s="7"/>
    </row>
    <row r="212" spans="1:5" ht="9.75">
      <c r="A212" s="1"/>
      <c r="B212" s="3"/>
      <c r="C212" s="3"/>
      <c r="D212" s="3"/>
      <c r="E212" s="3"/>
    </row>
    <row r="213" spans="1:5" ht="9.75">
      <c r="A213" s="4"/>
      <c r="B213" s="13"/>
      <c r="C213" s="8"/>
      <c r="D213" s="8"/>
      <c r="E213" s="8"/>
    </row>
  </sheetData>
  <sheetProtection password="811F" sheet="1" objects="1"/>
  <mergeCells count="32">
    <mergeCell ref="L17:N18"/>
    <mergeCell ref="J16:J28"/>
    <mergeCell ref="A33:C33"/>
    <mergeCell ref="A1:H2"/>
    <mergeCell ref="C11:D11"/>
    <mergeCell ref="B26:C26"/>
    <mergeCell ref="G57:H58"/>
    <mergeCell ref="G35:H35"/>
    <mergeCell ref="G26:H26"/>
    <mergeCell ref="B53:C53"/>
    <mergeCell ref="B56:C56"/>
    <mergeCell ref="B40:C40"/>
    <mergeCell ref="G41:H41"/>
    <mergeCell ref="B41:C41"/>
    <mergeCell ref="H27:H28"/>
    <mergeCell ref="O17:X18"/>
    <mergeCell ref="V19:V26"/>
    <mergeCell ref="W19:W26"/>
    <mergeCell ref="X19:X26"/>
    <mergeCell ref="Q19:Q26"/>
    <mergeCell ref="S19:S26"/>
    <mergeCell ref="T19:T26"/>
    <mergeCell ref="U19:U26"/>
    <mergeCell ref="P19:P26"/>
    <mergeCell ref="R19:R26"/>
    <mergeCell ref="O19:O26"/>
    <mergeCell ref="Y19:AD20"/>
    <mergeCell ref="L34:X35"/>
    <mergeCell ref="AA24:AA25"/>
    <mergeCell ref="L19:L26"/>
    <mergeCell ref="M19:M26"/>
    <mergeCell ref="N19:N26"/>
  </mergeCells>
  <printOptions/>
  <pageMargins left="0.4330708661417323" right="0.15748031496062992" top="0.29" bottom="0.15748031496062992" header="0.11811023622047245" footer="0.15748031496062992"/>
  <pageSetup horizontalDpi="180" verticalDpi="180" orientation="portrait" pageOrder="overThenDown" paperSize="9" scale="90"/>
  <drawing r:id="rId3"/>
  <legacyDrawing r:id="rId2"/>
</worksheet>
</file>

<file path=xl/worksheets/sheet4.xml><?xml version="1.0" encoding="utf-8"?>
<worksheet xmlns="http://schemas.openxmlformats.org/spreadsheetml/2006/main" xmlns:r="http://schemas.openxmlformats.org/officeDocument/2006/relationships">
  <sheetPr codeName="Foglio6">
    <tabColor indexed="52"/>
  </sheetPr>
  <dimension ref="A1:IP178"/>
  <sheetViews>
    <sheetView zoomScale="115" zoomScaleNormal="115" zoomScaleSheetLayoutView="100" zoomScalePageLayoutView="0" workbookViewId="0" topLeftCell="A25">
      <selection activeCell="R7" sqref="R7"/>
    </sheetView>
  </sheetViews>
  <sheetFormatPr defaultColWidth="9.140625" defaultRowHeight="12.75"/>
  <cols>
    <col min="1" max="1" width="29.7109375" style="36" customWidth="1"/>
    <col min="2" max="2" width="7.421875" style="6" customWidth="1"/>
    <col min="3" max="3" width="13.28125" style="6" customWidth="1"/>
    <col min="4" max="4" width="1.7109375" style="6" customWidth="1"/>
    <col min="5" max="5" width="29.7109375" style="6" customWidth="1"/>
    <col min="6" max="6" width="7.421875" style="6" customWidth="1"/>
    <col min="7" max="7" width="13.140625" style="6" customWidth="1"/>
    <col min="8" max="8" width="5.7109375" style="6" customWidth="1"/>
    <col min="9" max="9" width="13.140625" style="6" hidden="1" customWidth="1"/>
    <col min="10" max="10" width="5.28125" style="6" hidden="1" customWidth="1"/>
    <col min="11" max="11" width="14.8515625" style="6" hidden="1" customWidth="1"/>
    <col min="12" max="12" width="3.7109375" style="6" hidden="1" customWidth="1"/>
    <col min="13" max="13" width="3.421875" style="6" hidden="1" customWidth="1"/>
    <col min="14" max="14" width="15.140625" style="6" customWidth="1"/>
    <col min="15" max="15" width="5.421875" style="6" customWidth="1"/>
    <col min="16" max="16" width="4.421875" style="6" hidden="1" customWidth="1"/>
    <col min="17" max="17" width="5.7109375" style="6" hidden="1" customWidth="1"/>
    <col min="18" max="18" width="42.421875" style="6" customWidth="1"/>
    <col min="19" max="19" width="35.421875" style="6" customWidth="1"/>
    <col min="20" max="20" width="2.8515625" style="6" customWidth="1"/>
    <col min="21" max="21" width="16.421875" style="6" customWidth="1"/>
    <col min="22" max="22" width="8.8515625" style="6" customWidth="1"/>
    <col min="23" max="48" width="9.140625" style="6" customWidth="1"/>
    <col min="49" max="49" width="9.00390625" style="6" customWidth="1"/>
    <col min="50" max="50" width="9.140625" style="6" hidden="1" customWidth="1"/>
    <col min="51" max="16384" width="9.140625" style="6" customWidth="1"/>
  </cols>
  <sheetData>
    <row r="1" spans="1:7" ht="99.75" customHeight="1" thickBot="1">
      <c r="A1" s="904" t="s">
        <v>90</v>
      </c>
      <c r="B1" s="905"/>
      <c r="C1" s="905"/>
      <c r="D1" s="905"/>
      <c r="E1" s="905"/>
      <c r="F1" s="905"/>
      <c r="G1" s="906"/>
    </row>
    <row r="2" spans="1:50" ht="24" customHeight="1">
      <c r="A2" s="642"/>
      <c r="B2" s="506" t="s">
        <v>382</v>
      </c>
      <c r="C2" s="507"/>
      <c r="D2" s="508"/>
      <c r="E2" s="505"/>
      <c r="F2" s="506" t="s">
        <v>382</v>
      </c>
      <c r="G2" s="507"/>
      <c r="I2" s="509"/>
      <c r="J2" s="510"/>
      <c r="K2" s="511" t="s">
        <v>83</v>
      </c>
      <c r="AX2" s="511" t="s">
        <v>83</v>
      </c>
    </row>
    <row r="3" spans="1:18" ht="12.75" customHeight="1">
      <c r="A3" s="17"/>
      <c r="B3" s="16"/>
      <c r="C3" s="18"/>
      <c r="D3" s="508"/>
      <c r="E3" s="17"/>
      <c r="F3" s="16"/>
      <c r="G3" s="18"/>
      <c r="I3" s="509"/>
      <c r="J3" s="512"/>
      <c r="L3" s="23" t="s">
        <v>355</v>
      </c>
      <c r="M3" s="513"/>
      <c r="N3" s="513"/>
      <c r="R3" s="23"/>
    </row>
    <row r="4" spans="1:18" ht="12.75" customHeight="1">
      <c r="A4" s="600" t="s">
        <v>67</v>
      </c>
      <c r="B4" s="515"/>
      <c r="C4" s="516" t="s">
        <v>169</v>
      </c>
      <c r="D4" s="508"/>
      <c r="E4" s="599" t="s">
        <v>68</v>
      </c>
      <c r="F4" s="518"/>
      <c r="G4" s="519" t="s">
        <v>171</v>
      </c>
      <c r="I4" s="509"/>
      <c r="J4" s="510"/>
      <c r="K4" s="520" t="s">
        <v>332</v>
      </c>
      <c r="L4" s="21">
        <v>0.08</v>
      </c>
      <c r="M4" s="513"/>
      <c r="N4" s="21"/>
      <c r="O4" s="21"/>
      <c r="R4" s="21"/>
    </row>
    <row r="5" spans="1:18" ht="12.75" customHeight="1">
      <c r="A5" s="521" t="s">
        <v>306</v>
      </c>
      <c r="B5" s="522" t="s">
        <v>261</v>
      </c>
      <c r="C5" s="523">
        <v>50000</v>
      </c>
      <c r="D5" s="508"/>
      <c r="E5" s="521" t="s">
        <v>306</v>
      </c>
      <c r="F5" s="524" t="s">
        <v>264</v>
      </c>
      <c r="G5" s="525">
        <v>125000</v>
      </c>
      <c r="I5" s="509"/>
      <c r="J5" s="510"/>
      <c r="K5" s="520" t="s">
        <v>333</v>
      </c>
      <c r="L5" s="21">
        <v>0.02</v>
      </c>
      <c r="M5" s="513"/>
      <c r="N5" s="21"/>
      <c r="O5" s="21"/>
      <c r="R5" s="21"/>
    </row>
    <row r="6" spans="1:18" ht="12.75" customHeight="1">
      <c r="A6" s="643" t="s">
        <v>377</v>
      </c>
      <c r="B6" s="644">
        <v>12.362004462999998</v>
      </c>
      <c r="C6" s="645"/>
      <c r="D6" s="508"/>
      <c r="E6" s="17" t="s">
        <v>377</v>
      </c>
      <c r="F6" s="528">
        <v>10.926696179999999</v>
      </c>
      <c r="G6" s="529"/>
      <c r="I6" s="509"/>
      <c r="J6" s="512"/>
      <c r="K6" s="520" t="s">
        <v>335</v>
      </c>
      <c r="L6" s="21">
        <v>0.28</v>
      </c>
      <c r="M6" s="513"/>
      <c r="N6" s="21"/>
      <c r="O6" s="21"/>
      <c r="R6" s="21"/>
    </row>
    <row r="7" spans="1:18" ht="12.75" customHeight="1">
      <c r="A7" s="439" t="s">
        <v>172</v>
      </c>
      <c r="B7" s="16"/>
      <c r="C7" s="623"/>
      <c r="D7" s="508"/>
      <c r="E7" s="439" t="s">
        <v>172</v>
      </c>
      <c r="F7" s="528"/>
      <c r="G7" s="529"/>
      <c r="I7" s="509" t="s">
        <v>64</v>
      </c>
      <c r="J7" s="512" t="s">
        <v>65</v>
      </c>
      <c r="K7" s="520" t="s">
        <v>336</v>
      </c>
      <c r="L7" s="21">
        <v>0.08</v>
      </c>
      <c r="M7" s="513"/>
      <c r="N7" s="21"/>
      <c r="O7" s="21"/>
      <c r="R7" s="21"/>
    </row>
    <row r="8" spans="1:18" ht="12.75" customHeight="1">
      <c r="A8" s="223" t="s">
        <v>307</v>
      </c>
      <c r="B8" s="530">
        <f aca="true" t="shared" si="0" ref="B8:B16">L4*I8</f>
        <v>0</v>
      </c>
      <c r="C8" s="624"/>
      <c r="D8" s="508"/>
      <c r="E8" s="223" t="s">
        <v>307</v>
      </c>
      <c r="F8" s="531">
        <f>L56*J8</f>
        <v>0.12</v>
      </c>
      <c r="G8" s="626"/>
      <c r="I8" s="509" t="b">
        <v>0</v>
      </c>
      <c r="J8" s="533" t="b">
        <v>1</v>
      </c>
      <c r="K8" s="520" t="s">
        <v>337</v>
      </c>
      <c r="L8" s="21">
        <v>0.04</v>
      </c>
      <c r="M8" s="513"/>
      <c r="N8" s="21"/>
      <c r="O8" s="21"/>
      <c r="R8" s="21"/>
    </row>
    <row r="9" spans="1:21" ht="12.75" customHeight="1">
      <c r="A9" s="223" t="s">
        <v>308</v>
      </c>
      <c r="B9" s="530">
        <f t="shared" si="0"/>
        <v>0</v>
      </c>
      <c r="C9" s="624"/>
      <c r="D9" s="508"/>
      <c r="E9" s="223" t="s">
        <v>308</v>
      </c>
      <c r="F9" s="531">
        <f aca="true" t="shared" si="1" ref="F9:F16">L57*J9</f>
        <v>0.03</v>
      </c>
      <c r="G9" s="626"/>
      <c r="I9" s="509" t="b">
        <v>0</v>
      </c>
      <c r="J9" s="533" t="b">
        <v>1</v>
      </c>
      <c r="K9" s="520" t="s">
        <v>338</v>
      </c>
      <c r="L9" s="21">
        <v>0.05</v>
      </c>
      <c r="M9" s="513"/>
      <c r="N9" s="21"/>
      <c r="O9" s="21"/>
      <c r="Q9" s="21"/>
      <c r="R9" s="21"/>
      <c r="U9" s="21"/>
    </row>
    <row r="10" spans="1:21" ht="12.75" customHeight="1">
      <c r="A10" s="223" t="s">
        <v>309</v>
      </c>
      <c r="B10" s="530">
        <f t="shared" si="0"/>
        <v>0.28</v>
      </c>
      <c r="C10" s="625"/>
      <c r="D10" s="508"/>
      <c r="E10" s="223" t="s">
        <v>309</v>
      </c>
      <c r="F10" s="531">
        <f t="shared" si="1"/>
        <v>0.22</v>
      </c>
      <c r="G10" s="626"/>
      <c r="I10" s="509" t="b">
        <v>1</v>
      </c>
      <c r="J10" s="533" t="b">
        <v>1</v>
      </c>
      <c r="K10" s="520" t="s">
        <v>339</v>
      </c>
      <c r="L10" s="21">
        <v>0.35</v>
      </c>
      <c r="M10" s="513"/>
      <c r="N10" s="21"/>
      <c r="O10" s="21"/>
      <c r="Q10" s="21"/>
      <c r="R10" s="21"/>
      <c r="U10" s="21"/>
    </row>
    <row r="11" spans="1:21" ht="12.75" customHeight="1">
      <c r="A11" s="223" t="s">
        <v>310</v>
      </c>
      <c r="B11" s="530">
        <f t="shared" si="0"/>
        <v>0</v>
      </c>
      <c r="C11" s="625"/>
      <c r="D11" s="508"/>
      <c r="E11" s="223" t="s">
        <v>310</v>
      </c>
      <c r="F11" s="531">
        <f t="shared" si="1"/>
        <v>0</v>
      </c>
      <c r="G11" s="626"/>
      <c r="I11" s="509" t="b">
        <v>0</v>
      </c>
      <c r="J11" s="534" t="b">
        <v>0</v>
      </c>
      <c r="K11" s="520" t="s">
        <v>340</v>
      </c>
      <c r="L11" s="21">
        <v>0.03</v>
      </c>
      <c r="M11" s="513"/>
      <c r="N11" s="21"/>
      <c r="O11" s="21"/>
      <c r="Q11" s="21"/>
      <c r="R11" s="21"/>
      <c r="U11" s="21"/>
    </row>
    <row r="12" spans="1:21" ht="12.75" customHeight="1">
      <c r="A12" s="223" t="s">
        <v>311</v>
      </c>
      <c r="B12" s="530">
        <f t="shared" si="0"/>
        <v>0.04</v>
      </c>
      <c r="C12" s="625"/>
      <c r="D12" s="508"/>
      <c r="E12" s="223" t="s">
        <v>311</v>
      </c>
      <c r="F12" s="531">
        <f t="shared" si="1"/>
        <v>0.08</v>
      </c>
      <c r="G12" s="228"/>
      <c r="I12" s="509" t="b">
        <v>1</v>
      </c>
      <c r="J12" s="534" t="b">
        <v>1</v>
      </c>
      <c r="K12" s="520" t="s">
        <v>348</v>
      </c>
      <c r="L12" s="21">
        <v>0.07</v>
      </c>
      <c r="M12" s="513"/>
      <c r="N12" s="21"/>
      <c r="O12" s="21"/>
      <c r="Q12" s="21"/>
      <c r="R12" s="21"/>
      <c r="U12" s="21"/>
    </row>
    <row r="13" spans="1:21" ht="12.75" customHeight="1">
      <c r="A13" s="223" t="s">
        <v>312</v>
      </c>
      <c r="B13" s="530">
        <f t="shared" si="0"/>
        <v>0</v>
      </c>
      <c r="C13" s="625"/>
      <c r="D13" s="508"/>
      <c r="E13" s="223" t="s">
        <v>312</v>
      </c>
      <c r="F13" s="531">
        <f t="shared" si="1"/>
        <v>0</v>
      </c>
      <c r="G13" s="228"/>
      <c r="I13" s="509" t="b">
        <v>0</v>
      </c>
      <c r="J13" s="510" t="b">
        <v>0</v>
      </c>
      <c r="L13" s="109"/>
      <c r="M13" s="513"/>
      <c r="O13" s="21"/>
      <c r="Q13" s="21"/>
      <c r="U13" s="21"/>
    </row>
    <row r="14" spans="1:12" ht="12.75" customHeight="1">
      <c r="A14" s="223" t="s">
        <v>313</v>
      </c>
      <c r="B14" s="530">
        <f t="shared" si="0"/>
        <v>0</v>
      </c>
      <c r="C14" s="625"/>
      <c r="D14" s="538"/>
      <c r="E14" s="223" t="s">
        <v>313</v>
      </c>
      <c r="F14" s="531">
        <f t="shared" si="1"/>
        <v>0</v>
      </c>
      <c r="G14" s="228"/>
      <c r="I14" s="509" t="b">
        <v>0</v>
      </c>
      <c r="J14" s="510" t="b">
        <v>0</v>
      </c>
      <c r="L14" s="513"/>
    </row>
    <row r="15" spans="1:12" ht="12.75" customHeight="1">
      <c r="A15" s="223" t="s">
        <v>314</v>
      </c>
      <c r="B15" s="530">
        <f t="shared" si="0"/>
        <v>0</v>
      </c>
      <c r="C15" s="625"/>
      <c r="D15" s="538"/>
      <c r="E15" s="223" t="s">
        <v>314</v>
      </c>
      <c r="F15" s="531">
        <f t="shared" si="1"/>
        <v>0</v>
      </c>
      <c r="G15" s="624"/>
      <c r="I15" s="509" t="b">
        <v>0</v>
      </c>
      <c r="J15" s="6" t="b">
        <v>0</v>
      </c>
      <c r="L15" s="513"/>
    </row>
    <row r="16" spans="1:12" ht="12.75" customHeight="1">
      <c r="A16" s="223" t="s">
        <v>315</v>
      </c>
      <c r="B16" s="530">
        <f t="shared" si="0"/>
        <v>0</v>
      </c>
      <c r="C16" s="625"/>
      <c r="D16" s="538"/>
      <c r="E16" s="223" t="s">
        <v>315</v>
      </c>
      <c r="F16" s="531">
        <f t="shared" si="1"/>
        <v>0</v>
      </c>
      <c r="G16" s="228"/>
      <c r="I16" s="509" t="b">
        <v>0</v>
      </c>
      <c r="J16" s="6" t="b">
        <v>0</v>
      </c>
      <c r="L16" s="513"/>
    </row>
    <row r="17" spans="1:12" ht="12.75" customHeight="1">
      <c r="A17" s="223" t="s">
        <v>349</v>
      </c>
      <c r="B17" s="542">
        <f>I17*(IF(SUM(B8:B16)&gt;=0.8,(1-SUM(B8:B16)),(SUM(B8:B16)*0.25)))</f>
        <v>0.08</v>
      </c>
      <c r="C17" s="624"/>
      <c r="D17" s="538"/>
      <c r="E17" s="223" t="s">
        <v>349</v>
      </c>
      <c r="F17" s="535">
        <f>J17*(IF(SUM(F8:F16)&gt;=0.8,(1-SUM(F8:F16)),(SUM(F8:F16)*0.25)))</f>
        <v>0.1125</v>
      </c>
      <c r="G17" s="626"/>
      <c r="I17" s="509" t="b">
        <v>1</v>
      </c>
      <c r="J17" s="6" t="b">
        <v>1</v>
      </c>
      <c r="L17" s="513"/>
    </row>
    <row r="18" spans="1:12" ht="12.75" customHeight="1">
      <c r="A18" s="221" t="s">
        <v>173</v>
      </c>
      <c r="B18" s="530">
        <f>SUM(B8:B17)</f>
        <v>0.4</v>
      </c>
      <c r="C18" s="537"/>
      <c r="D18" s="538"/>
      <c r="E18" s="221" t="s">
        <v>173</v>
      </c>
      <c r="F18" s="530">
        <f>SUM(F8:F17)</f>
        <v>0.5625</v>
      </c>
      <c r="G18" s="629"/>
      <c r="I18" s="509"/>
      <c r="L18" s="513"/>
    </row>
    <row r="19" spans="1:12" ht="12.75" customHeight="1">
      <c r="A19" s="215" t="str">
        <f>C5&amp;" * "&amp;B6&amp;" * "&amp;B18&amp;"   ="</f>
        <v>50000 * 12,362004463 * 0,4   =</v>
      </c>
      <c r="B19" s="203"/>
      <c r="C19" s="621">
        <f>C5*B6*B18/100</f>
        <v>2472.4008925999997</v>
      </c>
      <c r="D19" s="538"/>
      <c r="E19" s="215" t="str">
        <f>G5&amp;" * "&amp;F6&amp;" * "&amp;F18&amp;"     ="</f>
        <v>125000 * 10,92669618 * 0,5625     =</v>
      </c>
      <c r="F19" s="203"/>
      <c r="G19" s="621">
        <f>G5*F6*F18/100</f>
        <v>7682.833251562498</v>
      </c>
      <c r="I19" s="509"/>
      <c r="L19" s="513"/>
    </row>
    <row r="20" spans="1:12" ht="12.75" customHeight="1">
      <c r="A20" s="107"/>
      <c r="B20" s="556"/>
      <c r="C20" s="35"/>
      <c r="D20" s="538"/>
      <c r="E20" s="107"/>
      <c r="F20" s="34"/>
      <c r="G20" s="38"/>
      <c r="I20" s="509"/>
      <c r="L20" s="513"/>
    </row>
    <row r="21" spans="1:12" ht="12.75" customHeight="1" thickBot="1">
      <c r="A21" s="585"/>
      <c r="B21" s="646"/>
      <c r="C21" s="584"/>
      <c r="D21" s="538"/>
      <c r="E21" s="31"/>
      <c r="F21" s="19"/>
      <c r="G21" s="33"/>
      <c r="I21" s="509"/>
      <c r="L21" s="513"/>
    </row>
    <row r="22" spans="1:12" ht="12.75" customHeight="1">
      <c r="A22" s="648"/>
      <c r="B22" s="646"/>
      <c r="C22" s="649"/>
      <c r="D22" s="538"/>
      <c r="E22" s="907" t="s">
        <v>174</v>
      </c>
      <c r="F22" s="908"/>
      <c r="G22" s="909"/>
      <c r="I22" s="509"/>
      <c r="L22" s="513"/>
    </row>
    <row r="23" spans="1:12" ht="12.75" customHeight="1" thickBot="1">
      <c r="A23" s="647" t="s">
        <v>63</v>
      </c>
      <c r="B23" s="575"/>
      <c r="C23" s="340" t="s">
        <v>169</v>
      </c>
      <c r="D23" s="538"/>
      <c r="E23" s="910"/>
      <c r="F23" s="911"/>
      <c r="G23" s="912"/>
      <c r="I23" s="509"/>
      <c r="L23" s="23" t="s">
        <v>357</v>
      </c>
    </row>
    <row r="24" spans="1:18" ht="12.75" customHeight="1">
      <c r="A24" s="17" t="s">
        <v>306</v>
      </c>
      <c r="B24" s="547" t="s">
        <v>263</v>
      </c>
      <c r="C24" s="548">
        <v>100000</v>
      </c>
      <c r="D24" s="538"/>
      <c r="E24" s="907" t="str">
        <f>A4</f>
        <v>CALCOLI SISMICO-STRUTTURALI</v>
      </c>
      <c r="F24" s="908"/>
      <c r="G24" s="902">
        <f>C19</f>
        <v>2472.4008925999997</v>
      </c>
      <c r="I24" s="509"/>
      <c r="K24" s="520" t="s">
        <v>332</v>
      </c>
      <c r="L24" s="21">
        <v>0.12</v>
      </c>
      <c r="R24" s="23"/>
    </row>
    <row r="25" spans="1:18" ht="12.75" customHeight="1">
      <c r="A25" s="521" t="s">
        <v>377</v>
      </c>
      <c r="B25" s="577">
        <v>8.89462969</v>
      </c>
      <c r="C25" s="578"/>
      <c r="D25" s="538"/>
      <c r="E25" s="898"/>
      <c r="F25" s="899"/>
      <c r="G25" s="903"/>
      <c r="I25" s="509"/>
      <c r="K25" s="520" t="s">
        <v>333</v>
      </c>
      <c r="L25" s="21">
        <v>0.03</v>
      </c>
      <c r="R25" s="21"/>
    </row>
    <row r="26" spans="1:18" ht="12.75" customHeight="1">
      <c r="A26" s="223" t="s">
        <v>307</v>
      </c>
      <c r="B26" s="552">
        <f aca="true" t="shared" si="2" ref="B26:B34">L24*I39</f>
        <v>0.12</v>
      </c>
      <c r="C26" s="626"/>
      <c r="D26" s="538"/>
      <c r="E26" s="898" t="str">
        <f>A23</f>
        <v>IMPIANTI DI RISCALDAMENTO E CONDIZ.</v>
      </c>
      <c r="F26" s="899"/>
      <c r="G26" s="903">
        <f>C37</f>
        <v>5003.229200625001</v>
      </c>
      <c r="I26" s="509" t="b">
        <v>1</v>
      </c>
      <c r="J26" s="21"/>
      <c r="K26" s="520" t="s">
        <v>335</v>
      </c>
      <c r="L26" s="21">
        <v>0.22</v>
      </c>
      <c r="R26" s="21"/>
    </row>
    <row r="27" spans="1:18" ht="12.75" customHeight="1">
      <c r="A27" s="223" t="s">
        <v>308</v>
      </c>
      <c r="B27" s="552">
        <f t="shared" si="2"/>
        <v>0.03</v>
      </c>
      <c r="C27" s="626"/>
      <c r="D27" s="538"/>
      <c r="E27" s="898"/>
      <c r="F27" s="899"/>
      <c r="G27" s="903"/>
      <c r="I27" s="509" t="b">
        <v>1</v>
      </c>
      <c r="J27" s="21"/>
      <c r="K27" s="520" t="s">
        <v>336</v>
      </c>
      <c r="L27" s="21">
        <v>0.1</v>
      </c>
      <c r="R27" s="21"/>
    </row>
    <row r="28" spans="1:18" ht="12.75" customHeight="1">
      <c r="A28" s="223" t="s">
        <v>309</v>
      </c>
      <c r="B28" s="552">
        <f t="shared" si="2"/>
        <v>0.22</v>
      </c>
      <c r="C28" s="626"/>
      <c r="D28" s="538"/>
      <c r="E28" s="900" t="str">
        <f>A43</f>
        <v>PROG. IMPIANTI IDROSANITARI E FOGNATURE</v>
      </c>
      <c r="F28" s="901"/>
      <c r="G28" s="903">
        <f>C57</f>
        <v>2252.9802269025</v>
      </c>
      <c r="I28" s="509" t="b">
        <v>1</v>
      </c>
      <c r="J28" s="21"/>
      <c r="K28" s="520" t="s">
        <v>337</v>
      </c>
      <c r="L28" s="21">
        <v>0.08</v>
      </c>
      <c r="R28" s="21"/>
    </row>
    <row r="29" spans="1:18" ht="12.75" customHeight="1">
      <c r="A29" s="223" t="s">
        <v>310</v>
      </c>
      <c r="B29" s="552">
        <f t="shared" si="2"/>
        <v>0</v>
      </c>
      <c r="C29" s="626"/>
      <c r="D29" s="538"/>
      <c r="E29" s="900"/>
      <c r="F29" s="901"/>
      <c r="G29" s="903"/>
      <c r="I29" s="509" t="b">
        <v>1</v>
      </c>
      <c r="J29" s="21"/>
      <c r="K29" s="520" t="s">
        <v>338</v>
      </c>
      <c r="L29" s="21">
        <v>0.1</v>
      </c>
      <c r="M29" s="513"/>
      <c r="N29" s="576"/>
      <c r="O29" s="513"/>
      <c r="P29" s="513"/>
      <c r="R29" s="21"/>
    </row>
    <row r="30" spans="1:18" ht="12.75" customHeight="1">
      <c r="A30" s="223" t="s">
        <v>311</v>
      </c>
      <c r="B30" s="552">
        <f t="shared" si="2"/>
        <v>0.08</v>
      </c>
      <c r="C30" s="627"/>
      <c r="D30" s="538"/>
      <c r="E30" s="898" t="str">
        <f>E4</f>
        <v>PROGETTAZIONE IMPIANTI ELETTRICI &amp; AFFINI</v>
      </c>
      <c r="F30" s="899"/>
      <c r="G30" s="903">
        <f>G19</f>
        <v>7682.833251562498</v>
      </c>
      <c r="I30" s="509" t="b">
        <v>0</v>
      </c>
      <c r="J30" s="21"/>
      <c r="K30" s="520" t="s">
        <v>339</v>
      </c>
      <c r="L30" s="21">
        <v>0.15</v>
      </c>
      <c r="M30" s="513"/>
      <c r="N30" s="513"/>
      <c r="O30" s="513"/>
      <c r="P30" s="513"/>
      <c r="R30" s="21"/>
    </row>
    <row r="31" spans="1:18" ht="12.75" customHeight="1">
      <c r="A31" s="223" t="s">
        <v>312</v>
      </c>
      <c r="B31" s="552">
        <f t="shared" si="2"/>
        <v>0</v>
      </c>
      <c r="C31" s="627"/>
      <c r="D31" s="538"/>
      <c r="E31" s="898"/>
      <c r="F31" s="899"/>
      <c r="G31" s="903"/>
      <c r="I31" s="509"/>
      <c r="J31" s="21"/>
      <c r="K31" s="520" t="s">
        <v>340</v>
      </c>
      <c r="L31" s="21">
        <v>0.15</v>
      </c>
      <c r="M31" s="513"/>
      <c r="Q31" s="32"/>
      <c r="R31" s="21"/>
    </row>
    <row r="32" spans="1:18" ht="12.75" customHeight="1">
      <c r="A32" s="223" t="s">
        <v>313</v>
      </c>
      <c r="B32" s="552">
        <f t="shared" si="2"/>
        <v>0</v>
      </c>
      <c r="C32" s="627"/>
      <c r="D32" s="538"/>
      <c r="E32" s="898" t="str">
        <f>E43</f>
        <v>PROG. DI BONIFICA DEI TERRENI</v>
      </c>
      <c r="F32" s="899"/>
      <c r="G32" s="903">
        <f>G57</f>
        <v>2247.144307515</v>
      </c>
      <c r="I32" s="509"/>
      <c r="J32" s="21"/>
      <c r="K32" s="520" t="s">
        <v>348</v>
      </c>
      <c r="L32" s="21">
        <v>0.05</v>
      </c>
      <c r="M32" s="513"/>
      <c r="Q32" s="32"/>
      <c r="R32" s="21"/>
    </row>
    <row r="33" spans="1:18" ht="12.75" customHeight="1" thickBot="1">
      <c r="A33" s="223" t="s">
        <v>314</v>
      </c>
      <c r="B33" s="552">
        <f t="shared" si="2"/>
        <v>0</v>
      </c>
      <c r="C33" s="627"/>
      <c r="D33" s="538"/>
      <c r="E33" s="898"/>
      <c r="F33" s="899"/>
      <c r="G33" s="903"/>
      <c r="I33" s="509"/>
      <c r="J33" s="21"/>
      <c r="L33" s="555"/>
      <c r="M33" s="513"/>
      <c r="Q33" s="32"/>
      <c r="R33" s="23"/>
    </row>
    <row r="34" spans="1:18" ht="12.75" customHeight="1">
      <c r="A34" s="223" t="s">
        <v>315</v>
      </c>
      <c r="B34" s="552">
        <f t="shared" si="2"/>
        <v>0</v>
      </c>
      <c r="C34" s="627"/>
      <c r="D34" s="538"/>
      <c r="E34" s="917" t="s">
        <v>44</v>
      </c>
      <c r="F34" s="918"/>
      <c r="G34" s="915">
        <f>SUM(G24:G30)</f>
        <v>17411.443571689997</v>
      </c>
      <c r="I34" s="509"/>
      <c r="J34" s="21"/>
      <c r="L34" s="23" t="s">
        <v>356</v>
      </c>
      <c r="M34" s="513"/>
      <c r="Q34" s="32"/>
      <c r="R34" s="21"/>
    </row>
    <row r="35" spans="1:18" ht="12.75" customHeight="1">
      <c r="A35" s="223" t="s">
        <v>349</v>
      </c>
      <c r="B35" s="542">
        <f>I48*(IF(SUM(B26:B34)&gt;=0.8,(1-SUM(B26:B34)),(SUM(B26:B34)*0.25)))</f>
        <v>0.1125</v>
      </c>
      <c r="C35" s="626"/>
      <c r="D35" s="538"/>
      <c r="E35" s="919"/>
      <c r="F35" s="920"/>
      <c r="G35" s="916"/>
      <c r="I35" s="509"/>
      <c r="J35" s="21"/>
      <c r="K35" s="609" t="s">
        <v>332</v>
      </c>
      <c r="L35" s="21">
        <v>0.12</v>
      </c>
      <c r="M35" s="513"/>
      <c r="N35" s="513"/>
      <c r="O35" s="513"/>
      <c r="P35" s="560"/>
      <c r="Q35" s="561"/>
      <c r="R35" s="21"/>
    </row>
    <row r="36" spans="1:18" ht="12.75" customHeight="1">
      <c r="A36" s="221" t="s">
        <v>173</v>
      </c>
      <c r="B36" s="530">
        <f>SUM(B26:B35)</f>
        <v>0.5625</v>
      </c>
      <c r="C36" s="628"/>
      <c r="D36" s="538"/>
      <c r="E36" s="919"/>
      <c r="F36" s="920"/>
      <c r="G36" s="916"/>
      <c r="I36" s="509"/>
      <c r="J36" s="21"/>
      <c r="K36" s="609" t="s">
        <v>333</v>
      </c>
      <c r="L36" s="21">
        <v>0.03</v>
      </c>
      <c r="M36" s="513"/>
      <c r="N36" s="576"/>
      <c r="O36" s="513"/>
      <c r="P36" s="560"/>
      <c r="Q36" s="561"/>
      <c r="R36" s="21"/>
    </row>
    <row r="37" spans="1:18" ht="12.75" customHeight="1">
      <c r="A37" s="215"/>
      <c r="B37" s="530"/>
      <c r="C37" s="621">
        <f>C24*B25*B36/100</f>
        <v>5003.229200625001</v>
      </c>
      <c r="D37" s="538"/>
      <c r="E37" s="636"/>
      <c r="F37" s="596"/>
      <c r="G37" s="637"/>
      <c r="I37" s="509"/>
      <c r="J37" s="21"/>
      <c r="K37" s="609" t="s">
        <v>335</v>
      </c>
      <c r="L37" s="21">
        <v>0.22</v>
      </c>
      <c r="M37" s="513"/>
      <c r="N37" s="513"/>
      <c r="O37" s="513"/>
      <c r="P37" s="560"/>
      <c r="Q37" s="561"/>
      <c r="R37" s="21"/>
    </row>
    <row r="38" spans="1:18" ht="12.75" customHeight="1">
      <c r="A38" s="582"/>
      <c r="B38" s="19"/>
      <c r="C38" s="33"/>
      <c r="D38" s="538"/>
      <c r="E38" s="636"/>
      <c r="F38" s="596"/>
      <c r="G38" s="637"/>
      <c r="I38" s="509" t="s">
        <v>66</v>
      </c>
      <c r="J38" s="21"/>
      <c r="K38" s="609" t="s">
        <v>336</v>
      </c>
      <c r="L38" s="21">
        <v>0.1</v>
      </c>
      <c r="M38" s="513"/>
      <c r="N38" s="513"/>
      <c r="O38" s="513"/>
      <c r="P38" s="560"/>
      <c r="Q38" s="561"/>
      <c r="R38" s="21"/>
    </row>
    <row r="39" spans="1:18" ht="12.75" customHeight="1">
      <c r="A39" s="582"/>
      <c r="B39" s="19"/>
      <c r="C39" s="33"/>
      <c r="D39" s="538"/>
      <c r="E39" s="638"/>
      <c r="F39" s="596"/>
      <c r="G39" s="639"/>
      <c r="I39" s="509" t="b">
        <v>1</v>
      </c>
      <c r="K39" s="609" t="s">
        <v>337</v>
      </c>
      <c r="L39" s="21">
        <v>0.08</v>
      </c>
      <c r="M39" s="513"/>
      <c r="N39" s="513"/>
      <c r="O39" s="513"/>
      <c r="P39" s="560"/>
      <c r="Q39" s="561"/>
      <c r="R39" s="21"/>
    </row>
    <row r="40" spans="1:18" ht="12.75" customHeight="1">
      <c r="A40" s="582"/>
      <c r="B40" s="19"/>
      <c r="C40" s="33"/>
      <c r="D40" s="508"/>
      <c r="E40" s="636"/>
      <c r="F40" s="596"/>
      <c r="G40" s="640"/>
      <c r="I40" s="509" t="b">
        <v>1</v>
      </c>
      <c r="J40" s="21"/>
      <c r="K40" s="609" t="s">
        <v>338</v>
      </c>
      <c r="L40" s="21">
        <v>0.1</v>
      </c>
      <c r="M40" s="513"/>
      <c r="N40" s="513"/>
      <c r="O40" s="513"/>
      <c r="P40" s="560"/>
      <c r="Q40" s="561"/>
      <c r="R40" s="21"/>
    </row>
    <row r="41" spans="1:18" ht="12.75" customHeight="1" thickBot="1">
      <c r="A41" s="583"/>
      <c r="B41" s="34"/>
      <c r="C41" s="38"/>
      <c r="D41" s="508"/>
      <c r="E41" s="913"/>
      <c r="F41" s="914"/>
      <c r="G41" s="641"/>
      <c r="I41" s="509" t="b">
        <v>1</v>
      </c>
      <c r="J41" s="21"/>
      <c r="K41" s="609" t="s">
        <v>339</v>
      </c>
      <c r="L41" s="21">
        <v>0.15</v>
      </c>
      <c r="M41" s="513"/>
      <c r="N41" s="513"/>
      <c r="O41" s="513"/>
      <c r="P41" s="560"/>
      <c r="Q41" s="561"/>
      <c r="R41" s="21"/>
    </row>
    <row r="42" spans="1:18" ht="12.75" customHeight="1">
      <c r="A42" s="583"/>
      <c r="B42" s="34"/>
      <c r="C42" s="38"/>
      <c r="D42" s="508"/>
      <c r="E42" s="31"/>
      <c r="F42" s="19"/>
      <c r="G42" s="33"/>
      <c r="I42" s="509" t="b">
        <v>0</v>
      </c>
      <c r="J42" s="21"/>
      <c r="K42" s="609" t="s">
        <v>340</v>
      </c>
      <c r="L42" s="21">
        <v>0.15</v>
      </c>
      <c r="M42" s="23"/>
      <c r="Q42" s="32"/>
      <c r="R42" s="21"/>
    </row>
    <row r="43" spans="1:18" s="19" customFormat="1" ht="12.75" customHeight="1">
      <c r="A43" s="599" t="s">
        <v>74</v>
      </c>
      <c r="B43" s="515"/>
      <c r="C43" s="519" t="s">
        <v>171</v>
      </c>
      <c r="D43" s="566"/>
      <c r="E43" s="599" t="s">
        <v>91</v>
      </c>
      <c r="F43" s="515"/>
      <c r="G43" s="519" t="s">
        <v>171</v>
      </c>
      <c r="I43" s="509" t="b">
        <v>1</v>
      </c>
      <c r="J43" s="106"/>
      <c r="K43" s="609" t="s">
        <v>348</v>
      </c>
      <c r="L43" s="21">
        <v>0.05</v>
      </c>
      <c r="M43" s="21"/>
      <c r="Q43" s="150"/>
      <c r="R43" s="23"/>
    </row>
    <row r="44" spans="1:250" s="19" customFormat="1" ht="12.75" customHeight="1">
      <c r="A44" s="521" t="s">
        <v>306</v>
      </c>
      <c r="B44" s="622" t="s">
        <v>262</v>
      </c>
      <c r="C44" s="525">
        <v>45000</v>
      </c>
      <c r="D44" s="28"/>
      <c r="E44" s="521" t="s">
        <v>306</v>
      </c>
      <c r="F44" s="622" t="s">
        <v>273</v>
      </c>
      <c r="G44" s="525">
        <v>45000</v>
      </c>
      <c r="I44" s="509" t="b">
        <v>0</v>
      </c>
      <c r="J44" s="28"/>
      <c r="L44" s="23" t="s">
        <v>364</v>
      </c>
      <c r="M44" s="21"/>
      <c r="N44" s="28"/>
      <c r="O44" s="28"/>
      <c r="P44" s="28"/>
      <c r="Q44" s="28"/>
      <c r="R44" s="21"/>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row>
    <row r="45" spans="1:250" s="19" customFormat="1" ht="12.75" customHeight="1">
      <c r="A45" s="17" t="s">
        <v>377</v>
      </c>
      <c r="B45" s="528">
        <v>11.125828280999999</v>
      </c>
      <c r="C45" s="529"/>
      <c r="D45" s="28"/>
      <c r="E45" s="17" t="s">
        <v>377</v>
      </c>
      <c r="F45" s="528">
        <v>4.9936540167</v>
      </c>
      <c r="G45" s="529"/>
      <c r="I45" s="509" t="b">
        <v>0</v>
      </c>
      <c r="J45" s="28"/>
      <c r="K45" s="520" t="s">
        <v>332</v>
      </c>
      <c r="L45" s="21">
        <v>0.07</v>
      </c>
      <c r="M45" s="21"/>
      <c r="N45" s="28"/>
      <c r="O45" s="28"/>
      <c r="P45" s="28"/>
      <c r="Q45" s="28"/>
      <c r="R45" s="21"/>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row>
    <row r="46" spans="1:250" s="19" customFormat="1" ht="12.75" customHeight="1">
      <c r="A46" s="223" t="s">
        <v>307</v>
      </c>
      <c r="B46" s="552">
        <f>L35*I51</f>
        <v>0.12</v>
      </c>
      <c r="C46" s="626"/>
      <c r="D46" s="28"/>
      <c r="E46" s="223" t="s">
        <v>307</v>
      </c>
      <c r="F46" s="552">
        <f aca="true" t="shared" si="3" ref="F46:F54">L45*J51</f>
        <v>0.07</v>
      </c>
      <c r="G46" s="626"/>
      <c r="I46" s="509" t="b">
        <v>0</v>
      </c>
      <c r="J46" s="28"/>
      <c r="K46" s="520" t="s">
        <v>333</v>
      </c>
      <c r="L46" s="21">
        <v>0.02</v>
      </c>
      <c r="M46" s="21"/>
      <c r="N46" s="28"/>
      <c r="O46" s="28"/>
      <c r="P46" s="28"/>
      <c r="Q46" s="28"/>
      <c r="R46" s="21"/>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row>
    <row r="47" spans="1:250" s="19" customFormat="1" ht="12.75" customHeight="1">
      <c r="A47" s="223" t="s">
        <v>308</v>
      </c>
      <c r="B47" s="552">
        <f aca="true" t="shared" si="4" ref="B47:B54">L36*I52</f>
        <v>0.03</v>
      </c>
      <c r="C47" s="626"/>
      <c r="D47" s="28"/>
      <c r="E47" s="223" t="s">
        <v>308</v>
      </c>
      <c r="F47" s="552">
        <f t="shared" si="3"/>
        <v>0.02</v>
      </c>
      <c r="G47" s="626"/>
      <c r="I47" s="509" t="b">
        <v>0</v>
      </c>
      <c r="J47" s="28"/>
      <c r="K47" s="520" t="s">
        <v>335</v>
      </c>
      <c r="L47" s="21">
        <v>0.12</v>
      </c>
      <c r="M47" s="21"/>
      <c r="N47" s="28"/>
      <c r="O47" s="28"/>
      <c r="P47" s="28"/>
      <c r="Q47" s="28"/>
      <c r="R47" s="21"/>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row>
    <row r="48" spans="1:250" s="19" customFormat="1" ht="12.75" customHeight="1">
      <c r="A48" s="223" t="s">
        <v>309</v>
      </c>
      <c r="B48" s="552">
        <f t="shared" si="4"/>
        <v>0.22</v>
      </c>
      <c r="C48" s="626"/>
      <c r="D48" s="28"/>
      <c r="E48" s="223" t="s">
        <v>309</v>
      </c>
      <c r="F48" s="552">
        <f t="shared" si="3"/>
        <v>0.12</v>
      </c>
      <c r="G48" s="626"/>
      <c r="I48" s="509" t="b">
        <v>1</v>
      </c>
      <c r="J48" s="28"/>
      <c r="K48" s="520" t="s">
        <v>336</v>
      </c>
      <c r="L48" s="21">
        <v>0.04</v>
      </c>
      <c r="M48" s="21"/>
      <c r="N48" s="28"/>
      <c r="O48" s="28"/>
      <c r="P48" s="28"/>
      <c r="Q48" s="28"/>
      <c r="R48" s="21"/>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row>
    <row r="49" spans="1:18" ht="12.75" customHeight="1">
      <c r="A49" s="223" t="s">
        <v>310</v>
      </c>
      <c r="B49" s="552">
        <f t="shared" si="4"/>
        <v>0</v>
      </c>
      <c r="C49" s="626"/>
      <c r="D49" s="538"/>
      <c r="E49" s="223" t="s">
        <v>310</v>
      </c>
      <c r="F49" s="552">
        <f t="shared" si="3"/>
        <v>0.04</v>
      </c>
      <c r="G49" s="626"/>
      <c r="I49" s="509"/>
      <c r="J49" s="21"/>
      <c r="K49" s="520" t="s">
        <v>337</v>
      </c>
      <c r="L49" s="21">
        <v>0.15</v>
      </c>
      <c r="M49" s="21"/>
      <c r="Q49" s="32"/>
      <c r="R49" s="21"/>
    </row>
    <row r="50" spans="1:18" ht="12.75" customHeight="1">
      <c r="A50" s="223" t="s">
        <v>311</v>
      </c>
      <c r="B50" s="552">
        <f t="shared" si="4"/>
        <v>0.08</v>
      </c>
      <c r="C50" s="228"/>
      <c r="D50" s="508"/>
      <c r="E50" s="223" t="s">
        <v>311</v>
      </c>
      <c r="F50" s="552">
        <f t="shared" si="3"/>
        <v>0.15</v>
      </c>
      <c r="G50" s="228"/>
      <c r="I50" s="509"/>
      <c r="J50" s="21"/>
      <c r="K50" s="520" t="s">
        <v>338</v>
      </c>
      <c r="L50" s="21">
        <v>0.1</v>
      </c>
      <c r="M50" s="21"/>
      <c r="Q50" s="32"/>
      <c r="R50" s="21"/>
    </row>
    <row r="51" spans="1:18" ht="12.75" customHeight="1">
      <c r="A51" s="223" t="s">
        <v>312</v>
      </c>
      <c r="B51" s="552">
        <f t="shared" si="4"/>
        <v>0</v>
      </c>
      <c r="C51" s="228"/>
      <c r="D51" s="508"/>
      <c r="E51" s="223" t="s">
        <v>312</v>
      </c>
      <c r="F51" s="552">
        <f t="shared" si="3"/>
        <v>0.1</v>
      </c>
      <c r="G51" s="228"/>
      <c r="I51" s="509" t="b">
        <v>1</v>
      </c>
      <c r="J51" s="509" t="b">
        <v>1</v>
      </c>
      <c r="K51" s="520" t="s">
        <v>339</v>
      </c>
      <c r="L51" s="21">
        <v>0.3</v>
      </c>
      <c r="M51" s="21"/>
      <c r="Q51" s="32"/>
      <c r="R51" s="21"/>
    </row>
    <row r="52" spans="1:18" ht="12.75" customHeight="1">
      <c r="A52" s="223" t="s">
        <v>313</v>
      </c>
      <c r="B52" s="552">
        <f t="shared" si="4"/>
        <v>0</v>
      </c>
      <c r="C52" s="228"/>
      <c r="D52" s="508"/>
      <c r="E52" s="223" t="s">
        <v>313</v>
      </c>
      <c r="F52" s="552">
        <f t="shared" si="3"/>
        <v>0.3</v>
      </c>
      <c r="G52" s="228"/>
      <c r="I52" s="509" t="b">
        <v>1</v>
      </c>
      <c r="J52" s="509" t="b">
        <v>1</v>
      </c>
      <c r="K52" s="520" t="s">
        <v>340</v>
      </c>
      <c r="L52" s="21">
        <v>0.05</v>
      </c>
      <c r="M52" s="21"/>
      <c r="N52" s="19"/>
      <c r="Q52" s="32"/>
      <c r="R52" s="21"/>
    </row>
    <row r="53" spans="1:18" ht="12.75" customHeight="1">
      <c r="A53" s="223" t="s">
        <v>314</v>
      </c>
      <c r="B53" s="552">
        <f t="shared" si="4"/>
        <v>0</v>
      </c>
      <c r="C53" s="228"/>
      <c r="D53" s="508"/>
      <c r="E53" s="223" t="s">
        <v>314</v>
      </c>
      <c r="F53" s="552">
        <f t="shared" si="3"/>
        <v>0.05</v>
      </c>
      <c r="G53" s="228"/>
      <c r="I53" s="509" t="b">
        <v>1</v>
      </c>
      <c r="J53" s="509" t="b">
        <v>1</v>
      </c>
      <c r="K53" s="520" t="s">
        <v>348</v>
      </c>
      <c r="L53" s="21">
        <v>0.15</v>
      </c>
      <c r="Q53" s="32"/>
      <c r="R53" s="23"/>
    </row>
    <row r="54" spans="1:18" ht="12.75" customHeight="1">
      <c r="A54" s="223" t="s">
        <v>315</v>
      </c>
      <c r="B54" s="552">
        <f t="shared" si="4"/>
        <v>0</v>
      </c>
      <c r="C54" s="228"/>
      <c r="D54" s="508"/>
      <c r="E54" s="223" t="s">
        <v>315</v>
      </c>
      <c r="F54" s="552">
        <f t="shared" si="3"/>
        <v>0.15</v>
      </c>
      <c r="G54" s="228"/>
      <c r="I54" s="509" t="b">
        <v>0</v>
      </c>
      <c r="J54" s="509" t="b">
        <v>1</v>
      </c>
      <c r="L54" s="21"/>
      <c r="Q54" s="32"/>
      <c r="R54" s="21"/>
    </row>
    <row r="55" spans="1:18" ht="12.75" customHeight="1">
      <c r="A55" s="223" t="s">
        <v>349</v>
      </c>
      <c r="B55" s="535">
        <f>I60*(IF(SUM(B46:B54)&gt;=0.8,(1-SUM(B46:B54)),(SUM(B46:B54)*0.25)))</f>
        <v>0</v>
      </c>
      <c r="C55" s="626"/>
      <c r="D55" s="508"/>
      <c r="E55" s="223" t="s">
        <v>349</v>
      </c>
      <c r="F55" s="535">
        <f>J60*(IF(SUM(F46:F54)&gt;=0.8,(1-SUM(F46:F54)),(SUM(F46:F54)*0.25)))</f>
        <v>0</v>
      </c>
      <c r="G55" s="626"/>
      <c r="I55" s="509" t="b">
        <v>1</v>
      </c>
      <c r="J55" s="509" t="b">
        <v>1</v>
      </c>
      <c r="L55" s="23" t="s">
        <v>358</v>
      </c>
      <c r="O55" s="21"/>
      <c r="Q55" s="32"/>
      <c r="R55" s="21"/>
    </row>
    <row r="56" spans="1:18" ht="12.75" customHeight="1">
      <c r="A56" s="221" t="s">
        <v>173</v>
      </c>
      <c r="B56" s="530">
        <f>SUM(B46:B55)</f>
        <v>0.45</v>
      </c>
      <c r="C56" s="629"/>
      <c r="D56" s="508"/>
      <c r="E56" s="221" t="s">
        <v>173</v>
      </c>
      <c r="F56" s="530">
        <f>SUM(F46:F55)</f>
        <v>1</v>
      </c>
      <c r="G56" s="629"/>
      <c r="I56" s="509" t="b">
        <v>0</v>
      </c>
      <c r="J56" s="509" t="b">
        <v>1</v>
      </c>
      <c r="K56" s="520" t="s">
        <v>332</v>
      </c>
      <c r="L56" s="21">
        <v>0.12</v>
      </c>
      <c r="O56" s="21"/>
      <c r="R56" s="21"/>
    </row>
    <row r="57" spans="1:18" ht="12.75" customHeight="1">
      <c r="A57" s="215" t="str">
        <f>C44&amp;" * "&amp;B45&amp;" * "&amp;B56&amp;"     ="</f>
        <v>45000 * 11,125828281 * 0,45     =</v>
      </c>
      <c r="B57" s="203"/>
      <c r="C57" s="621">
        <f>C44*B45*B56/100</f>
        <v>2252.9802269025</v>
      </c>
      <c r="D57" s="508"/>
      <c r="E57" s="215" t="str">
        <f>G44&amp;" * "&amp;F45&amp;" * "&amp;F56&amp;"     ="</f>
        <v>45000 * 4,9936540167 * 1     =</v>
      </c>
      <c r="F57" s="203"/>
      <c r="G57" s="621">
        <f>G44*F45*F56/100</f>
        <v>2247.144307515</v>
      </c>
      <c r="I57" s="509" t="b">
        <v>0</v>
      </c>
      <c r="J57" s="509" t="b">
        <v>1</v>
      </c>
      <c r="K57" s="520" t="s">
        <v>333</v>
      </c>
      <c r="L57" s="21">
        <v>0.03</v>
      </c>
      <c r="O57" s="21"/>
      <c r="R57" s="21"/>
    </row>
    <row r="58" spans="1:18" ht="12.75" customHeight="1">
      <c r="A58" s="583"/>
      <c r="B58" s="34"/>
      <c r="C58" s="38"/>
      <c r="D58" s="566"/>
      <c r="E58" s="273"/>
      <c r="F58" s="631"/>
      <c r="G58" s="632"/>
      <c r="H58" s="19"/>
      <c r="I58" s="509" t="b">
        <v>0</v>
      </c>
      <c r="J58" s="509" t="b">
        <v>1</v>
      </c>
      <c r="K58" s="520" t="s">
        <v>335</v>
      </c>
      <c r="L58" s="21">
        <v>0.22</v>
      </c>
      <c r="O58" s="21"/>
      <c r="Q58" s="32"/>
      <c r="R58" s="21"/>
    </row>
    <row r="59" spans="1:18" ht="12.75" customHeight="1">
      <c r="A59" s="37"/>
      <c r="B59" s="19"/>
      <c r="C59" s="19"/>
      <c r="D59" s="566"/>
      <c r="E59" s="162"/>
      <c r="F59" s="579"/>
      <c r="G59" s="587"/>
      <c r="H59" s="19"/>
      <c r="I59" s="509" t="b">
        <v>0</v>
      </c>
      <c r="J59" s="509" t="b">
        <v>1</v>
      </c>
      <c r="K59" s="520" t="s">
        <v>336</v>
      </c>
      <c r="L59" s="21">
        <v>0.1</v>
      </c>
      <c r="O59" s="21"/>
      <c r="Q59" s="32"/>
      <c r="R59" s="21"/>
    </row>
    <row r="60" spans="1:18" ht="12.75" customHeight="1">
      <c r="A60" s="37"/>
      <c r="B60" s="19"/>
      <c r="C60" s="19"/>
      <c r="D60" s="566"/>
      <c r="E60" s="162"/>
      <c r="F60" s="579"/>
      <c r="G60" s="588"/>
      <c r="H60" s="19"/>
      <c r="I60" s="509" t="b">
        <v>0</v>
      </c>
      <c r="J60" s="509" t="b">
        <v>1</v>
      </c>
      <c r="K60" s="520" t="s">
        <v>337</v>
      </c>
      <c r="L60" s="21">
        <v>0.08</v>
      </c>
      <c r="O60" s="21"/>
      <c r="Q60" s="32"/>
      <c r="R60" s="21"/>
    </row>
    <row r="61" spans="1:18" ht="12.75" customHeight="1">
      <c r="A61" s="37"/>
      <c r="B61" s="19"/>
      <c r="C61" s="19"/>
      <c r="D61" s="566"/>
      <c r="E61" s="142"/>
      <c r="F61" s="142"/>
      <c r="G61" s="142"/>
      <c r="H61" s="19"/>
      <c r="I61" s="509"/>
      <c r="J61" s="509"/>
      <c r="K61" s="520" t="s">
        <v>338</v>
      </c>
      <c r="L61" s="21">
        <v>0.1</v>
      </c>
      <c r="O61" s="21"/>
      <c r="Q61" s="32"/>
      <c r="R61" s="21"/>
    </row>
    <row r="62" spans="1:18" ht="12.75" customHeight="1">
      <c r="A62" s="19"/>
      <c r="B62" s="19"/>
      <c r="C62" s="16"/>
      <c r="D62" s="16"/>
      <c r="E62" s="19"/>
      <c r="F62" s="19"/>
      <c r="G62" s="19"/>
      <c r="H62" s="19"/>
      <c r="J62" s="513"/>
      <c r="K62" s="520" t="s">
        <v>339</v>
      </c>
      <c r="L62" s="21">
        <v>0.15</v>
      </c>
      <c r="M62" s="19"/>
      <c r="N62" s="19"/>
      <c r="O62" s="19"/>
      <c r="P62" s="19"/>
      <c r="R62" s="21"/>
    </row>
    <row r="63" spans="1:12" ht="12.75" customHeight="1">
      <c r="A63" s="28"/>
      <c r="B63" s="574"/>
      <c r="C63" s="2"/>
      <c r="D63" s="7"/>
      <c r="J63" s="513"/>
      <c r="K63" s="520" t="s">
        <v>340</v>
      </c>
      <c r="L63" s="21">
        <v>0.15</v>
      </c>
    </row>
    <row r="64" spans="1:12" ht="12.75" customHeight="1">
      <c r="A64" s="28"/>
      <c r="B64" s="574"/>
      <c r="C64" s="2"/>
      <c r="D64" s="2"/>
      <c r="J64" s="513"/>
      <c r="K64" s="520" t="s">
        <v>348</v>
      </c>
      <c r="L64" s="21">
        <v>0.05</v>
      </c>
    </row>
    <row r="65" spans="1:12" ht="12.75" customHeight="1">
      <c r="A65" s="1"/>
      <c r="C65" s="2"/>
      <c r="D65" s="2"/>
      <c r="L65" s="513"/>
    </row>
    <row r="66" spans="1:12" ht="12.75" customHeight="1">
      <c r="A66" s="1"/>
      <c r="C66" s="2"/>
      <c r="D66" s="2"/>
      <c r="L66" s="513"/>
    </row>
    <row r="67" spans="1:4" ht="12.75" customHeight="1">
      <c r="A67" s="1"/>
      <c r="C67" s="2"/>
      <c r="D67" s="8"/>
    </row>
    <row r="68" spans="1:4" ht="12.75" customHeight="1">
      <c r="A68" s="1"/>
      <c r="C68" s="2"/>
      <c r="D68" s="2"/>
    </row>
    <row r="69" spans="1:4" ht="12.75" customHeight="1">
      <c r="A69" s="1"/>
      <c r="B69" s="9"/>
      <c r="C69" s="2"/>
      <c r="D69" s="2"/>
    </row>
    <row r="70" spans="1:4" ht="12.75" customHeight="1">
      <c r="A70" s="4"/>
      <c r="B70" s="9"/>
      <c r="C70" s="2"/>
      <c r="D70" s="2"/>
    </row>
    <row r="71" spans="1:4" ht="12.75" customHeight="1">
      <c r="A71" s="1"/>
      <c r="C71" s="11"/>
      <c r="D71" s="2"/>
    </row>
    <row r="72" spans="1:4" ht="12.75" customHeight="1">
      <c r="A72" s="1"/>
      <c r="B72" s="2"/>
      <c r="C72" s="2"/>
      <c r="D72" s="2"/>
    </row>
    <row r="73" spans="1:4" ht="12.75" customHeight="1">
      <c r="A73" s="1"/>
      <c r="B73" s="2"/>
      <c r="C73" s="3"/>
      <c r="D73" s="7"/>
    </row>
    <row r="74" spans="1:4" ht="12.75" customHeight="1">
      <c r="A74" s="4"/>
      <c r="B74" s="13"/>
      <c r="C74" s="8"/>
      <c r="D74" s="7"/>
    </row>
    <row r="75" spans="1:4" ht="12.75" customHeight="1">
      <c r="A75" s="4"/>
      <c r="B75" s="13"/>
      <c r="C75" s="8"/>
      <c r="D75" s="2"/>
    </row>
    <row r="76" spans="1:4" ht="12.75" customHeight="1">
      <c r="A76" s="4"/>
      <c r="B76" s="13"/>
      <c r="C76" s="8"/>
      <c r="D76" s="2"/>
    </row>
    <row r="77" spans="1:4" ht="12.75" customHeight="1">
      <c r="A77" s="1"/>
      <c r="B77" s="2"/>
      <c r="C77" s="2"/>
      <c r="D77" s="2"/>
    </row>
    <row r="78" spans="1:4" ht="12.75" customHeight="1">
      <c r="A78" s="1"/>
      <c r="B78" s="2"/>
      <c r="C78" s="2"/>
      <c r="D78" s="2"/>
    </row>
    <row r="79" spans="1:4" ht="12.75" customHeight="1">
      <c r="A79" s="1"/>
      <c r="B79" s="2"/>
      <c r="C79" s="2"/>
      <c r="D79" s="2"/>
    </row>
    <row r="80" spans="1:4" ht="12.75" customHeight="1">
      <c r="A80" s="1"/>
      <c r="B80" s="2"/>
      <c r="C80" s="2"/>
      <c r="D80" s="10"/>
    </row>
    <row r="81" spans="1:4" ht="12.75" customHeight="1">
      <c r="A81" s="1"/>
      <c r="B81" s="2"/>
      <c r="C81" s="2"/>
      <c r="D81" s="2"/>
    </row>
    <row r="82" spans="1:4" ht="12.75" customHeight="1">
      <c r="A82" s="1"/>
      <c r="B82" s="2"/>
      <c r="C82" s="2"/>
      <c r="D82" s="2"/>
    </row>
    <row r="83" spans="1:4" ht="12.75" customHeight="1">
      <c r="A83" s="1"/>
      <c r="B83" s="2"/>
      <c r="C83" s="2"/>
      <c r="D83" s="2"/>
    </row>
    <row r="84" spans="1:4" ht="12.75" customHeight="1">
      <c r="A84" s="1"/>
      <c r="B84" s="2"/>
      <c r="C84" s="5"/>
      <c r="D84" s="2"/>
    </row>
    <row r="85" spans="1:4" ht="12.75" customHeight="1">
      <c r="A85" s="4"/>
      <c r="B85" s="14"/>
      <c r="C85" s="2"/>
      <c r="D85" s="2"/>
    </row>
    <row r="86" spans="1:4" ht="12.75" customHeight="1">
      <c r="A86" s="1"/>
      <c r="B86" s="2"/>
      <c r="C86" s="3"/>
      <c r="D86" s="2"/>
    </row>
    <row r="87" spans="1:4" ht="12.75" customHeight="1">
      <c r="A87" s="4"/>
      <c r="B87" s="2"/>
      <c r="C87" s="3"/>
      <c r="D87" s="2"/>
    </row>
    <row r="88" spans="1:4" ht="12.75" customHeight="1">
      <c r="A88" s="1"/>
      <c r="B88" s="2"/>
      <c r="C88" s="2"/>
      <c r="D88" s="2"/>
    </row>
    <row r="89" spans="1:4" ht="12.75" customHeight="1">
      <c r="A89" s="1"/>
      <c r="B89" s="7"/>
      <c r="C89" s="3"/>
      <c r="D89" s="2"/>
    </row>
    <row r="90" spans="1:4" ht="12.75" customHeight="1">
      <c r="A90" s="1"/>
      <c r="B90" s="7"/>
      <c r="C90" s="3"/>
      <c r="D90" s="2"/>
    </row>
    <row r="91" spans="1:4" ht="12.75" customHeight="1">
      <c r="A91" s="1"/>
      <c r="B91" s="7"/>
      <c r="C91" s="2"/>
      <c r="D91" s="2"/>
    </row>
    <row r="92" spans="1:4" ht="12.75" customHeight="1">
      <c r="A92" s="1"/>
      <c r="B92" s="7"/>
      <c r="C92" s="3"/>
      <c r="D92" s="2"/>
    </row>
    <row r="93" spans="1:4" ht="9.75">
      <c r="A93" s="1"/>
      <c r="B93" s="7"/>
      <c r="C93" s="3"/>
      <c r="D93" s="2"/>
    </row>
    <row r="94" spans="1:4" ht="9.75">
      <c r="A94" s="4"/>
      <c r="B94" s="2"/>
      <c r="C94" s="2"/>
      <c r="D94" s="2"/>
    </row>
    <row r="95" spans="1:4" ht="9.75">
      <c r="A95" s="1"/>
      <c r="B95" s="3"/>
      <c r="C95" s="3"/>
      <c r="D95" s="5"/>
    </row>
    <row r="96" spans="1:4" ht="9.75">
      <c r="A96" s="4"/>
      <c r="B96" s="2"/>
      <c r="C96" s="2"/>
      <c r="D96" s="5"/>
    </row>
    <row r="97" spans="1:4" ht="9.75">
      <c r="A97" s="4"/>
      <c r="B97" s="2"/>
      <c r="C97" s="2"/>
      <c r="D97" s="5"/>
    </row>
    <row r="98" spans="1:4" ht="9.75">
      <c r="A98" s="1"/>
      <c r="B98" s="2"/>
      <c r="C98" s="2"/>
      <c r="D98" s="10"/>
    </row>
    <row r="99" spans="1:4" ht="9.75">
      <c r="A99" s="1"/>
      <c r="B99" s="7"/>
      <c r="C99" s="2"/>
      <c r="D99" s="2"/>
    </row>
    <row r="100" spans="1:4" ht="9.75">
      <c r="A100" s="1"/>
      <c r="B100" s="2"/>
      <c r="C100" s="3"/>
      <c r="D100" s="2"/>
    </row>
    <row r="101" spans="1:4" ht="9.75">
      <c r="A101" s="4"/>
      <c r="B101" s="2"/>
      <c r="C101" s="2"/>
      <c r="D101" s="2"/>
    </row>
    <row r="102" spans="1:4" ht="9.75">
      <c r="A102" s="1"/>
      <c r="B102" s="2"/>
      <c r="C102" s="2"/>
      <c r="D102" s="2"/>
    </row>
    <row r="103" spans="1:4" ht="9.75">
      <c r="A103" s="1"/>
      <c r="B103" s="7"/>
      <c r="C103" s="2"/>
      <c r="D103" s="2"/>
    </row>
    <row r="104" spans="1:4" ht="9.75">
      <c r="A104" s="1"/>
      <c r="B104" s="7"/>
      <c r="C104" s="2"/>
      <c r="D104" s="2"/>
    </row>
    <row r="105" spans="1:4" ht="9.75">
      <c r="A105" s="1"/>
      <c r="B105" s="2"/>
      <c r="C105" s="3"/>
      <c r="D105" s="2"/>
    </row>
    <row r="106" spans="1:4" ht="9.75">
      <c r="A106" s="4"/>
      <c r="B106" s="2"/>
      <c r="C106" s="2"/>
      <c r="D106" s="2"/>
    </row>
    <row r="107" spans="1:4" ht="9.75">
      <c r="A107" s="1"/>
      <c r="B107" s="2"/>
      <c r="C107" s="2"/>
      <c r="D107" s="2"/>
    </row>
    <row r="108" spans="1:4" ht="9.75">
      <c r="A108" s="1"/>
      <c r="B108" s="2"/>
      <c r="C108" s="2"/>
      <c r="D108" s="2"/>
    </row>
    <row r="109" spans="1:4" ht="9.75">
      <c r="A109" s="1"/>
      <c r="C109" s="3"/>
      <c r="D109" s="2"/>
    </row>
    <row r="110" spans="1:4" ht="9.75">
      <c r="A110" s="1"/>
      <c r="B110" s="2"/>
      <c r="C110" s="3"/>
      <c r="D110" s="2"/>
    </row>
    <row r="111" spans="1:4" ht="9.75">
      <c r="A111" s="1"/>
      <c r="C111" s="3"/>
      <c r="D111" s="2"/>
    </row>
    <row r="112" spans="1:4" ht="9.75">
      <c r="A112" s="4"/>
      <c r="C112" s="3"/>
      <c r="D112" s="2"/>
    </row>
    <row r="113" spans="1:4" ht="9.75">
      <c r="A113" s="4"/>
      <c r="C113" s="3"/>
      <c r="D113" s="2"/>
    </row>
    <row r="114" spans="1:4" ht="9.75">
      <c r="A114" s="1"/>
      <c r="B114" s="13"/>
      <c r="C114" s="8"/>
      <c r="D114" s="2"/>
    </row>
    <row r="115" spans="1:4" ht="9.75">
      <c r="A115" s="1"/>
      <c r="B115" s="13"/>
      <c r="C115" s="3"/>
      <c r="D115" s="2"/>
    </row>
    <row r="116" spans="1:4" ht="9.75">
      <c r="A116" s="4"/>
      <c r="C116" s="3"/>
      <c r="D116" s="2"/>
    </row>
    <row r="117" spans="1:4" ht="9.75">
      <c r="A117" s="1"/>
      <c r="C117" s="3"/>
      <c r="D117" s="2"/>
    </row>
    <row r="118" spans="1:3" ht="9.75">
      <c r="A118" s="1"/>
      <c r="C118" s="3"/>
    </row>
    <row r="119" spans="1:4" ht="9.75">
      <c r="A119" s="4"/>
      <c r="C119" s="3"/>
      <c r="D119" s="15"/>
    </row>
    <row r="120" spans="1:4" ht="9.75">
      <c r="A120" s="1"/>
      <c r="C120" s="3"/>
      <c r="D120" s="7"/>
    </row>
    <row r="121" spans="1:4" ht="9.75">
      <c r="A121" s="4"/>
      <c r="B121" s="2"/>
      <c r="C121" s="2"/>
      <c r="D121" s="7"/>
    </row>
    <row r="122" spans="1:4" ht="9.75">
      <c r="A122" s="1"/>
      <c r="B122" s="2"/>
      <c r="C122" s="2"/>
      <c r="D122" s="15"/>
    </row>
    <row r="123" spans="1:4" ht="9.75">
      <c r="A123" s="1"/>
      <c r="B123" s="2"/>
      <c r="C123" s="2"/>
      <c r="D123" s="2"/>
    </row>
    <row r="124" spans="1:4" ht="9.75">
      <c r="A124" s="1"/>
      <c r="B124" s="7"/>
      <c r="C124" s="7"/>
      <c r="D124" s="2"/>
    </row>
    <row r="125" spans="1:4" ht="9.75">
      <c r="A125" s="1"/>
      <c r="B125" s="2"/>
      <c r="C125" s="3"/>
      <c r="D125" s="2"/>
    </row>
    <row r="126" spans="1:4" ht="9.75">
      <c r="A126" s="4"/>
      <c r="B126" s="2"/>
      <c r="C126" s="2"/>
      <c r="D126" s="2"/>
    </row>
    <row r="127" spans="1:4" ht="9.75">
      <c r="A127" s="4"/>
      <c r="D127" s="10"/>
    </row>
    <row r="128" spans="1:4" ht="9.75">
      <c r="A128" s="1"/>
      <c r="C128" s="3"/>
      <c r="D128" s="2"/>
    </row>
    <row r="129" spans="1:4" ht="9.75">
      <c r="A129" s="4"/>
      <c r="D129" s="2"/>
    </row>
    <row r="130" spans="1:4" ht="9.75">
      <c r="A130" s="4"/>
      <c r="D130" s="2"/>
    </row>
    <row r="131" spans="1:4" ht="9.75">
      <c r="A131" s="4"/>
      <c r="D131" s="10"/>
    </row>
    <row r="132" spans="1:4" ht="9.75">
      <c r="A132" s="4"/>
      <c r="D132" s="2"/>
    </row>
    <row r="133" spans="1:4" ht="9.75">
      <c r="A133" s="1"/>
      <c r="B133" s="5"/>
      <c r="C133" s="3"/>
      <c r="D133" s="2"/>
    </row>
    <row r="134" spans="1:4" ht="9.75">
      <c r="A134" s="4"/>
      <c r="B134" s="2"/>
      <c r="C134" s="2"/>
      <c r="D134" s="2"/>
    </row>
    <row r="135" spans="1:4" ht="9.75">
      <c r="A135" s="1"/>
      <c r="B135" s="2"/>
      <c r="C135" s="2"/>
      <c r="D135" s="2"/>
    </row>
    <row r="136" spans="1:4" ht="9.75">
      <c r="A136" s="1"/>
      <c r="B136" s="2"/>
      <c r="C136" s="2"/>
      <c r="D136" s="12"/>
    </row>
    <row r="137" spans="1:4" ht="9.75">
      <c r="A137" s="1"/>
      <c r="B137" s="5"/>
      <c r="C137" s="5"/>
      <c r="D137" s="2"/>
    </row>
    <row r="138" spans="1:4" ht="9.75">
      <c r="A138" s="1"/>
      <c r="B138" s="2"/>
      <c r="C138" s="3"/>
      <c r="D138" s="2"/>
    </row>
    <row r="139" ht="9.75">
      <c r="D139" s="2"/>
    </row>
    <row r="140" ht="9.75">
      <c r="D140" s="2"/>
    </row>
    <row r="141" ht="9.75">
      <c r="D141" s="2"/>
    </row>
    <row r="142" ht="9.75">
      <c r="D142" s="2"/>
    </row>
    <row r="143" spans="1:4" ht="9.75">
      <c r="A143" s="1"/>
      <c r="B143" s="2"/>
      <c r="C143" s="2"/>
      <c r="D143" s="2"/>
    </row>
    <row r="144" spans="1:4" ht="9.75">
      <c r="A144" s="1"/>
      <c r="B144" s="2"/>
      <c r="C144" s="2"/>
      <c r="D144" s="8"/>
    </row>
    <row r="145" spans="1:4" ht="9.75">
      <c r="A145" s="1"/>
      <c r="B145" s="2"/>
      <c r="C145" s="3"/>
      <c r="D145" s="2"/>
    </row>
    <row r="146" spans="1:4" ht="9.75">
      <c r="A146" s="1"/>
      <c r="B146" s="2"/>
      <c r="C146" s="3"/>
      <c r="D146" s="2"/>
    </row>
    <row r="147" spans="1:4" ht="9.75">
      <c r="A147" s="1"/>
      <c r="D147" s="8"/>
    </row>
    <row r="148" spans="1:4" ht="9.75">
      <c r="A148" s="4"/>
      <c r="D148" s="2"/>
    </row>
    <row r="149" spans="1:4" ht="9.75">
      <c r="A149" s="1"/>
      <c r="B149" s="2"/>
      <c r="C149" s="2"/>
      <c r="D149" s="2"/>
    </row>
    <row r="150" spans="1:4" ht="9.75">
      <c r="A150" s="1"/>
      <c r="C150" s="2"/>
      <c r="D150" s="2"/>
    </row>
    <row r="151" spans="1:4" ht="9.75">
      <c r="A151" s="1"/>
      <c r="C151" s="2"/>
      <c r="D151" s="2"/>
    </row>
    <row r="152" spans="1:4" ht="9.75">
      <c r="A152" s="1"/>
      <c r="C152" s="2"/>
      <c r="D152" s="2"/>
    </row>
    <row r="153" spans="1:4" ht="9.75">
      <c r="A153" s="1"/>
      <c r="C153" s="2"/>
      <c r="D153" s="7"/>
    </row>
    <row r="154" spans="1:4" ht="9.75">
      <c r="A154" s="1"/>
      <c r="C154" s="2"/>
      <c r="D154" s="7"/>
    </row>
    <row r="155" spans="1:4" ht="9.75">
      <c r="A155" s="1"/>
      <c r="C155" s="2"/>
      <c r="D155" s="2"/>
    </row>
    <row r="156" spans="1:4" ht="9.75">
      <c r="A156" s="1"/>
      <c r="C156" s="2"/>
      <c r="D156" s="2"/>
    </row>
    <row r="157" spans="1:4" ht="9.75">
      <c r="A157" s="1"/>
      <c r="C157" s="2"/>
      <c r="D157" s="2"/>
    </row>
    <row r="158" spans="1:4" ht="9.75">
      <c r="A158" s="1"/>
      <c r="C158" s="2"/>
      <c r="D158" s="2"/>
    </row>
    <row r="159" spans="1:4" ht="9.75">
      <c r="A159" s="1"/>
      <c r="B159" s="9"/>
      <c r="C159" s="2"/>
      <c r="D159" s="2"/>
    </row>
    <row r="160" spans="1:4" ht="9.75">
      <c r="A160" s="4"/>
      <c r="B160" s="9"/>
      <c r="C160" s="2"/>
      <c r="D160" s="2"/>
    </row>
    <row r="161" spans="1:4" ht="9.75">
      <c r="A161" s="1"/>
      <c r="C161" s="11"/>
      <c r="D161" s="2"/>
    </row>
    <row r="162" spans="1:4" ht="9.75">
      <c r="A162" s="1"/>
      <c r="B162" s="2"/>
      <c r="C162" s="2"/>
      <c r="D162" s="2"/>
    </row>
    <row r="163" spans="1:4" ht="9.75">
      <c r="A163" s="1"/>
      <c r="B163" s="2"/>
      <c r="C163" s="3"/>
      <c r="D163" s="2"/>
    </row>
    <row r="164" spans="1:4" ht="9.75">
      <c r="A164" s="4"/>
      <c r="B164" s="13"/>
      <c r="C164" s="8"/>
      <c r="D164" s="2"/>
    </row>
    <row r="165" spans="1:4" ht="9.75">
      <c r="A165" s="1"/>
      <c r="B165" s="13"/>
      <c r="C165" s="8"/>
      <c r="D165" s="2"/>
    </row>
    <row r="166" spans="1:4" ht="9.75">
      <c r="A166" s="1"/>
      <c r="B166" s="13"/>
      <c r="C166" s="3"/>
      <c r="D166" s="2"/>
    </row>
    <row r="167" spans="1:4" ht="9.75">
      <c r="A167" s="4"/>
      <c r="B167" s="13"/>
      <c r="C167" s="8"/>
      <c r="D167" s="2"/>
    </row>
    <row r="168" spans="1:3" ht="9.75">
      <c r="A168" s="4"/>
      <c r="B168" s="13"/>
      <c r="C168" s="8"/>
    </row>
    <row r="169" spans="1:3" ht="9.75">
      <c r="A169" s="1"/>
      <c r="B169" s="13"/>
      <c r="C169" s="8"/>
    </row>
    <row r="170" spans="1:3" ht="9.75">
      <c r="A170" s="1"/>
      <c r="B170" s="13"/>
      <c r="C170" s="3"/>
    </row>
    <row r="171" spans="1:3" ht="9.75">
      <c r="A171" s="4"/>
      <c r="B171" s="13"/>
      <c r="C171" s="8"/>
    </row>
    <row r="172" spans="1:3" ht="9.75">
      <c r="A172" s="1"/>
      <c r="C172" s="3"/>
    </row>
    <row r="173" spans="1:3" ht="9.75">
      <c r="A173" s="4"/>
      <c r="B173" s="2"/>
      <c r="C173" s="2"/>
    </row>
    <row r="174" spans="1:3" ht="9.75">
      <c r="A174" s="1"/>
      <c r="B174" s="2"/>
      <c r="C174" s="2"/>
    </row>
    <row r="175" spans="1:3" ht="9.75">
      <c r="A175" s="1"/>
      <c r="B175" s="2"/>
      <c r="C175" s="2"/>
    </row>
    <row r="176" spans="1:3" ht="9.75">
      <c r="A176" s="1"/>
      <c r="B176" s="7"/>
      <c r="C176" s="7"/>
    </row>
    <row r="177" spans="1:3" ht="9.75">
      <c r="A177" s="1"/>
      <c r="B177" s="3"/>
      <c r="C177" s="3"/>
    </row>
    <row r="178" spans="1:3" ht="9.75">
      <c r="A178" s="4"/>
      <c r="B178" s="13"/>
      <c r="C178" s="8"/>
    </row>
  </sheetData>
  <sheetProtection password="811F" sheet="1"/>
  <mergeCells count="15">
    <mergeCell ref="E41:F41"/>
    <mergeCell ref="G30:G31"/>
    <mergeCell ref="G34:G36"/>
    <mergeCell ref="E30:F31"/>
    <mergeCell ref="E34:F36"/>
    <mergeCell ref="E32:F33"/>
    <mergeCell ref="G32:G33"/>
    <mergeCell ref="E26:F27"/>
    <mergeCell ref="E28:F29"/>
    <mergeCell ref="G24:G25"/>
    <mergeCell ref="G26:G27"/>
    <mergeCell ref="G28:G29"/>
    <mergeCell ref="A1:G1"/>
    <mergeCell ref="E22:G23"/>
    <mergeCell ref="E24:F25"/>
  </mergeCells>
  <printOptions/>
  <pageMargins left="0.68" right="0.26" top="0.72" bottom="0.56" header="0.31" footer="0.56"/>
  <pageSetup horizontalDpi="180" verticalDpi="180" orientation="portrait" pageOrder="overThenDown" paperSize="9" scale="90"/>
  <headerFooter alignWithMargins="0">
    <oddHeader>&amp;R
</oddHeader>
  </headerFooter>
  <drawing r:id="rId1"/>
</worksheet>
</file>

<file path=xl/worksheets/sheet5.xml><?xml version="1.0" encoding="utf-8"?>
<worksheet xmlns="http://schemas.openxmlformats.org/spreadsheetml/2006/main" xmlns:r="http://schemas.openxmlformats.org/officeDocument/2006/relationships">
  <sheetPr codeName="Foglio8">
    <tabColor indexed="45"/>
  </sheetPr>
  <dimension ref="A1:IP178"/>
  <sheetViews>
    <sheetView zoomScale="115" zoomScaleNormal="115" zoomScaleSheetLayoutView="100" workbookViewId="0" topLeftCell="A1">
      <selection activeCell="S1" sqref="S1"/>
    </sheetView>
  </sheetViews>
  <sheetFormatPr defaultColWidth="9.140625" defaultRowHeight="12.75"/>
  <cols>
    <col min="1" max="1" width="29.7109375" style="36" customWidth="1"/>
    <col min="2" max="2" width="7.421875" style="6" customWidth="1"/>
    <col min="3" max="3" width="13.28125" style="6" customWidth="1"/>
    <col min="4" max="4" width="1.7109375" style="6" customWidth="1"/>
    <col min="5" max="5" width="29.7109375" style="6" customWidth="1"/>
    <col min="6" max="6" width="7.421875" style="6" customWidth="1"/>
    <col min="7" max="7" width="13.140625" style="6" customWidth="1"/>
    <col min="8" max="8" width="5.28125" style="6" customWidth="1"/>
    <col min="9" max="9" width="13.140625" style="6" hidden="1" customWidth="1"/>
    <col min="10" max="10" width="2.140625" style="6" hidden="1" customWidth="1"/>
    <col min="11" max="11" width="4.140625" style="6" hidden="1" customWidth="1"/>
    <col min="12" max="12" width="4.28125" style="6" hidden="1" customWidth="1"/>
    <col min="13" max="13" width="3.8515625" style="6" hidden="1" customWidth="1"/>
    <col min="14" max="14" width="4.28125" style="6" customWidth="1"/>
    <col min="15" max="15" width="4.140625" style="6" customWidth="1"/>
    <col min="16" max="16" width="4.8515625" style="6" hidden="1" customWidth="1"/>
    <col min="17" max="17" width="5.7109375" style="6" hidden="1" customWidth="1"/>
    <col min="18" max="18" width="6.28125" style="6" customWidth="1"/>
    <col min="19" max="19" width="35.421875" style="6" customWidth="1"/>
    <col min="20" max="20" width="2.8515625" style="6" customWidth="1"/>
    <col min="21" max="21" width="16.421875" style="6" customWidth="1"/>
    <col min="22" max="22" width="8.8515625" style="6" customWidth="1"/>
    <col min="23" max="48" width="9.140625" style="6" customWidth="1"/>
    <col min="49" max="49" width="8.421875" style="6" customWidth="1"/>
    <col min="50" max="50" width="2.8515625" style="6" hidden="1" customWidth="1"/>
    <col min="51" max="16384" width="9.140625" style="6" customWidth="1"/>
  </cols>
  <sheetData>
    <row r="1" spans="1:7" ht="99.75" customHeight="1" thickBot="1">
      <c r="A1" s="904" t="s">
        <v>73</v>
      </c>
      <c r="B1" s="905"/>
      <c r="C1" s="905"/>
      <c r="D1" s="905"/>
      <c r="E1" s="905"/>
      <c r="F1" s="905"/>
      <c r="G1" s="906"/>
    </row>
    <row r="2" spans="1:50" ht="24" customHeight="1">
      <c r="A2" s="642"/>
      <c r="B2" s="506" t="s">
        <v>382</v>
      </c>
      <c r="C2" s="507"/>
      <c r="D2" s="508"/>
      <c r="E2" s="505"/>
      <c r="F2" s="506" t="s">
        <v>382</v>
      </c>
      <c r="G2" s="507"/>
      <c r="I2" s="509"/>
      <c r="J2" s="510"/>
      <c r="K2" s="511" t="s">
        <v>83</v>
      </c>
      <c r="AX2" s="511" t="s">
        <v>83</v>
      </c>
    </row>
    <row r="3" spans="1:18" ht="12.75" customHeight="1">
      <c r="A3" s="17"/>
      <c r="B3" s="16"/>
      <c r="C3" s="18"/>
      <c r="D3" s="508"/>
      <c r="E3" s="17"/>
      <c r="F3" s="16"/>
      <c r="G3" s="18"/>
      <c r="I3" s="509"/>
      <c r="J3" s="512"/>
      <c r="L3" s="23" t="s">
        <v>345</v>
      </c>
      <c r="M3" s="513"/>
      <c r="N3" s="513"/>
      <c r="R3" s="23"/>
    </row>
    <row r="4" spans="1:18" ht="12.75" customHeight="1">
      <c r="A4" s="600" t="s">
        <v>69</v>
      </c>
      <c r="B4" s="515"/>
      <c r="C4" s="516" t="s">
        <v>169</v>
      </c>
      <c r="D4" s="508"/>
      <c r="E4" s="599" t="s">
        <v>72</v>
      </c>
      <c r="F4" s="518"/>
      <c r="G4" s="519" t="s">
        <v>171</v>
      </c>
      <c r="I4" s="509"/>
      <c r="J4" s="510"/>
      <c r="K4" s="520" t="s">
        <v>332</v>
      </c>
      <c r="L4" s="21">
        <v>0.1</v>
      </c>
      <c r="M4" s="513"/>
      <c r="N4" s="21"/>
      <c r="O4" s="21"/>
      <c r="R4" s="21"/>
    </row>
    <row r="5" spans="1:18" ht="12.75" customHeight="1">
      <c r="A5" s="521" t="s">
        <v>306</v>
      </c>
      <c r="B5" s="522" t="s">
        <v>257</v>
      </c>
      <c r="C5" s="523">
        <v>50000</v>
      </c>
      <c r="D5" s="508"/>
      <c r="E5" s="521" t="s">
        <v>306</v>
      </c>
      <c r="F5" s="524" t="s">
        <v>262</v>
      </c>
      <c r="G5" s="525">
        <v>125000</v>
      </c>
      <c r="I5" s="509"/>
      <c r="J5" s="510"/>
      <c r="K5" s="520" t="s">
        <v>333</v>
      </c>
      <c r="L5" s="21">
        <v>0.02</v>
      </c>
      <c r="M5" s="513"/>
      <c r="N5" s="21"/>
      <c r="O5" s="21"/>
      <c r="R5" s="21"/>
    </row>
    <row r="6" spans="1:18" ht="12.75" customHeight="1">
      <c r="A6" s="643" t="s">
        <v>377</v>
      </c>
      <c r="B6" s="644">
        <v>12.362004462999998</v>
      </c>
      <c r="C6" s="645"/>
      <c r="D6" s="508"/>
      <c r="E6" s="17" t="s">
        <v>377</v>
      </c>
      <c r="F6" s="528">
        <v>7.351847135</v>
      </c>
      <c r="G6" s="529"/>
      <c r="I6" s="509"/>
      <c r="J6" s="512"/>
      <c r="K6" s="520" t="s">
        <v>335</v>
      </c>
      <c r="L6" s="21">
        <v>0.25</v>
      </c>
      <c r="M6" s="513"/>
      <c r="N6" s="21"/>
      <c r="O6" s="21"/>
      <c r="R6" s="21"/>
    </row>
    <row r="7" spans="1:18" ht="12.75" customHeight="1">
      <c r="A7" s="439" t="s">
        <v>172</v>
      </c>
      <c r="B7" s="16"/>
      <c r="C7" s="623"/>
      <c r="D7" s="508"/>
      <c r="E7" s="439" t="s">
        <v>172</v>
      </c>
      <c r="F7" s="528"/>
      <c r="G7" s="529"/>
      <c r="I7" s="509" t="s">
        <v>64</v>
      </c>
      <c r="J7" s="512" t="s">
        <v>65</v>
      </c>
      <c r="K7" s="520" t="s">
        <v>336</v>
      </c>
      <c r="L7" s="21">
        <v>0.1</v>
      </c>
      <c r="M7" s="513"/>
      <c r="N7" s="21"/>
      <c r="O7" s="21"/>
      <c r="R7" s="21"/>
    </row>
    <row r="8" spans="1:18" ht="12.75" customHeight="1">
      <c r="A8" s="223" t="s">
        <v>307</v>
      </c>
      <c r="B8" s="530">
        <f aca="true" t="shared" si="0" ref="B8:B16">L4*I8</f>
        <v>0.1</v>
      </c>
      <c r="C8" s="624"/>
      <c r="D8" s="508"/>
      <c r="E8" s="223" t="s">
        <v>307</v>
      </c>
      <c r="F8" s="531">
        <f aca="true" t="shared" si="1" ref="F8:F16">L56*J8</f>
        <v>0.12</v>
      </c>
      <c r="G8" s="626"/>
      <c r="I8" s="509" t="b">
        <v>1</v>
      </c>
      <c r="J8" s="533" t="b">
        <v>1</v>
      </c>
      <c r="K8" s="520" t="s">
        <v>337</v>
      </c>
      <c r="L8" s="21">
        <v>0.15</v>
      </c>
      <c r="M8" s="513"/>
      <c r="N8" s="21"/>
      <c r="O8" s="21"/>
      <c r="R8" s="21"/>
    </row>
    <row r="9" spans="1:21" ht="12.75" customHeight="1">
      <c r="A9" s="223" t="s">
        <v>308</v>
      </c>
      <c r="B9" s="530">
        <f t="shared" si="0"/>
        <v>0.02</v>
      </c>
      <c r="C9" s="624"/>
      <c r="D9" s="508"/>
      <c r="E9" s="223" t="s">
        <v>308</v>
      </c>
      <c r="F9" s="531">
        <f t="shared" si="1"/>
        <v>0.03</v>
      </c>
      <c r="G9" s="626"/>
      <c r="I9" s="509" t="b">
        <v>1</v>
      </c>
      <c r="J9" s="533" t="b">
        <v>1</v>
      </c>
      <c r="K9" s="520" t="s">
        <v>338</v>
      </c>
      <c r="L9" s="21">
        <v>0.03</v>
      </c>
      <c r="M9" s="513"/>
      <c r="N9" s="21"/>
      <c r="O9" s="21"/>
      <c r="Q9" s="21"/>
      <c r="R9" s="21"/>
      <c r="U9" s="21"/>
    </row>
    <row r="10" spans="1:21" ht="12.75" customHeight="1">
      <c r="A10" s="223" t="s">
        <v>309</v>
      </c>
      <c r="B10" s="530">
        <f t="shared" si="0"/>
        <v>0.25</v>
      </c>
      <c r="C10" s="625"/>
      <c r="D10" s="508"/>
      <c r="E10" s="223" t="s">
        <v>309</v>
      </c>
      <c r="F10" s="531">
        <f t="shared" si="1"/>
        <v>0.22</v>
      </c>
      <c r="G10" s="626"/>
      <c r="I10" s="509" t="b">
        <v>1</v>
      </c>
      <c r="J10" s="533" t="b">
        <v>1</v>
      </c>
      <c r="K10" s="520" t="s">
        <v>339</v>
      </c>
      <c r="L10" s="21">
        <v>0.25</v>
      </c>
      <c r="M10" s="513"/>
      <c r="N10" s="21"/>
      <c r="O10" s="21"/>
      <c r="Q10" s="21"/>
      <c r="R10" s="21"/>
      <c r="U10" s="21"/>
    </row>
    <row r="11" spans="1:21" ht="12.75" customHeight="1">
      <c r="A11" s="223" t="s">
        <v>310</v>
      </c>
      <c r="B11" s="530">
        <f t="shared" si="0"/>
        <v>0</v>
      </c>
      <c r="C11" s="625"/>
      <c r="D11" s="508"/>
      <c r="E11" s="223" t="s">
        <v>310</v>
      </c>
      <c r="F11" s="531">
        <f t="shared" si="1"/>
        <v>0.1</v>
      </c>
      <c r="G11" s="626"/>
      <c r="I11" s="509" t="b">
        <v>0</v>
      </c>
      <c r="J11" s="534" t="b">
        <v>1</v>
      </c>
      <c r="K11" s="520" t="s">
        <v>340</v>
      </c>
      <c r="L11" s="21">
        <v>0.03</v>
      </c>
      <c r="M11" s="513"/>
      <c r="N11" s="21"/>
      <c r="O11" s="21"/>
      <c r="Q11" s="21"/>
      <c r="R11" s="21"/>
      <c r="U11" s="21"/>
    </row>
    <row r="12" spans="1:21" ht="12.75" customHeight="1">
      <c r="A12" s="223" t="s">
        <v>311</v>
      </c>
      <c r="B12" s="530">
        <f t="shared" si="0"/>
        <v>0.15</v>
      </c>
      <c r="C12" s="625"/>
      <c r="D12" s="508"/>
      <c r="E12" s="223" t="s">
        <v>311</v>
      </c>
      <c r="F12" s="531">
        <f t="shared" si="1"/>
        <v>0.08</v>
      </c>
      <c r="G12" s="228"/>
      <c r="I12" s="509" t="b">
        <v>1</v>
      </c>
      <c r="J12" s="534" t="b">
        <v>1</v>
      </c>
      <c r="K12" s="520" t="s">
        <v>348</v>
      </c>
      <c r="L12" s="21">
        <v>0.07</v>
      </c>
      <c r="M12" s="513"/>
      <c r="N12" s="21"/>
      <c r="O12" s="21"/>
      <c r="Q12" s="21"/>
      <c r="R12" s="21"/>
      <c r="U12" s="21"/>
    </row>
    <row r="13" spans="1:21" ht="12.75" customHeight="1">
      <c r="A13" s="223" t="s">
        <v>312</v>
      </c>
      <c r="B13" s="530">
        <f t="shared" si="0"/>
        <v>0</v>
      </c>
      <c r="C13" s="625"/>
      <c r="D13" s="508"/>
      <c r="E13" s="223" t="s">
        <v>312</v>
      </c>
      <c r="F13" s="531">
        <f t="shared" si="1"/>
        <v>0.1</v>
      </c>
      <c r="G13" s="228"/>
      <c r="I13" s="509" t="b">
        <v>0</v>
      </c>
      <c r="J13" s="510" t="b">
        <v>1</v>
      </c>
      <c r="L13" s="109"/>
      <c r="M13" s="513"/>
      <c r="O13" s="21"/>
      <c r="Q13" s="21"/>
      <c r="U13" s="21"/>
    </row>
    <row r="14" spans="1:12" ht="12.75" customHeight="1">
      <c r="A14" s="223" t="s">
        <v>313</v>
      </c>
      <c r="B14" s="530">
        <f t="shared" si="0"/>
        <v>0</v>
      </c>
      <c r="C14" s="625"/>
      <c r="D14" s="538"/>
      <c r="E14" s="223" t="s">
        <v>313</v>
      </c>
      <c r="F14" s="531">
        <f t="shared" si="1"/>
        <v>0.15</v>
      </c>
      <c r="G14" s="228"/>
      <c r="I14" s="509" t="b">
        <v>0</v>
      </c>
      <c r="J14" s="510" t="b">
        <v>1</v>
      </c>
      <c r="L14" s="513"/>
    </row>
    <row r="15" spans="1:12" ht="12.75" customHeight="1">
      <c r="A15" s="223" t="s">
        <v>314</v>
      </c>
      <c r="B15" s="530">
        <f t="shared" si="0"/>
        <v>0</v>
      </c>
      <c r="C15" s="625"/>
      <c r="D15" s="538"/>
      <c r="E15" s="223" t="s">
        <v>314</v>
      </c>
      <c r="F15" s="531">
        <f t="shared" si="1"/>
        <v>0.15</v>
      </c>
      <c r="G15" s="624"/>
      <c r="I15" s="509" t="b">
        <v>0</v>
      </c>
      <c r="J15" s="6" t="b">
        <v>1</v>
      </c>
      <c r="L15" s="513"/>
    </row>
    <row r="16" spans="1:12" ht="12.75" customHeight="1">
      <c r="A16" s="223" t="s">
        <v>315</v>
      </c>
      <c r="B16" s="530">
        <f t="shared" si="0"/>
        <v>0</v>
      </c>
      <c r="C16" s="625"/>
      <c r="D16" s="538"/>
      <c r="E16" s="223" t="s">
        <v>315</v>
      </c>
      <c r="F16" s="531">
        <f t="shared" si="1"/>
        <v>0.05</v>
      </c>
      <c r="G16" s="228"/>
      <c r="I16" s="509" t="b">
        <v>0</v>
      </c>
      <c r="J16" s="6" t="b">
        <v>1</v>
      </c>
      <c r="L16" s="513"/>
    </row>
    <row r="17" spans="1:12" ht="12.75" customHeight="1">
      <c r="A17" s="223" t="s">
        <v>349</v>
      </c>
      <c r="B17" s="542">
        <f>I17*(IF(SUM(B8:B16)&gt;=0.8,(1-SUM(B8:B16)),(SUM(B8:B16)*0.25)))</f>
        <v>0.13</v>
      </c>
      <c r="C17" s="624"/>
      <c r="D17" s="538"/>
      <c r="E17" s="223" t="s">
        <v>349</v>
      </c>
      <c r="F17" s="535">
        <f>J17*(IF(SUM(F8:F16)&gt;=0.8,(1-SUM(F8:F16)),(SUM(F8:F16)*0.25)))</f>
        <v>0</v>
      </c>
      <c r="G17" s="626"/>
      <c r="I17" s="509" t="b">
        <v>1</v>
      </c>
      <c r="J17" s="6" t="b">
        <v>1</v>
      </c>
      <c r="L17" s="513"/>
    </row>
    <row r="18" spans="1:12" ht="12.75" customHeight="1">
      <c r="A18" s="221" t="s">
        <v>173</v>
      </c>
      <c r="B18" s="530">
        <f>SUM(B8:B17)</f>
        <v>0.65</v>
      </c>
      <c r="C18" s="537"/>
      <c r="D18" s="538"/>
      <c r="E18" s="221" t="s">
        <v>173</v>
      </c>
      <c r="F18" s="530">
        <f>SUM(F8:F17)</f>
        <v>1</v>
      </c>
      <c r="G18" s="629"/>
      <c r="I18" s="509"/>
      <c r="L18" s="513"/>
    </row>
    <row r="19" spans="1:12" ht="12.75" customHeight="1">
      <c r="A19" s="215" t="str">
        <f>C5&amp;" * "&amp;B6&amp;" * "&amp;B18&amp;"   ="</f>
        <v>50000 * 12,362004463 * 0,65   =</v>
      </c>
      <c r="B19" s="203"/>
      <c r="C19" s="621">
        <f>C5*B6*B18/100</f>
        <v>4017.6514504749994</v>
      </c>
      <c r="D19" s="538"/>
      <c r="E19" s="215" t="str">
        <f>G5&amp;" * "&amp;F6&amp;" * "&amp;F18&amp;"     ="</f>
        <v>125000 * 7,351847135 * 1     =</v>
      </c>
      <c r="F19" s="203"/>
      <c r="G19" s="621">
        <f>G5*F6*F18/100</f>
        <v>9189.808918749999</v>
      </c>
      <c r="I19" s="509"/>
      <c r="L19" s="513"/>
    </row>
    <row r="20" spans="1:12" ht="12.75" customHeight="1">
      <c r="A20" s="107"/>
      <c r="B20" s="556"/>
      <c r="C20" s="35"/>
      <c r="D20" s="538"/>
      <c r="E20" s="107"/>
      <c r="F20" s="34"/>
      <c r="G20" s="38"/>
      <c r="I20" s="509"/>
      <c r="L20" s="513"/>
    </row>
    <row r="21" spans="1:12" ht="12.75" customHeight="1" thickBot="1">
      <c r="A21" s="585"/>
      <c r="B21" s="646"/>
      <c r="C21" s="584"/>
      <c r="D21" s="538"/>
      <c r="E21" s="31"/>
      <c r="F21" s="19"/>
      <c r="G21" s="33"/>
      <c r="I21" s="509"/>
      <c r="L21" s="513"/>
    </row>
    <row r="22" spans="1:12" ht="12.75" customHeight="1">
      <c r="A22" s="648"/>
      <c r="B22" s="646"/>
      <c r="C22" s="649"/>
      <c r="D22" s="538"/>
      <c r="E22" s="907" t="s">
        <v>174</v>
      </c>
      <c r="F22" s="908"/>
      <c r="G22" s="909"/>
      <c r="I22" s="509"/>
      <c r="L22" s="513"/>
    </row>
    <row r="23" spans="1:12" ht="12.75" customHeight="1" thickBot="1">
      <c r="A23" s="599" t="s">
        <v>70</v>
      </c>
      <c r="B23" s="575"/>
      <c r="C23" s="340" t="s">
        <v>169</v>
      </c>
      <c r="D23" s="538"/>
      <c r="E23" s="910"/>
      <c r="F23" s="911"/>
      <c r="G23" s="912"/>
      <c r="I23" s="509"/>
      <c r="L23" s="23" t="s">
        <v>345</v>
      </c>
    </row>
    <row r="24" spans="1:18" ht="12.75" customHeight="1">
      <c r="A24" s="17" t="s">
        <v>306</v>
      </c>
      <c r="B24" s="547" t="s">
        <v>257</v>
      </c>
      <c r="C24" s="548">
        <v>100000</v>
      </c>
      <c r="D24" s="538"/>
      <c r="E24" s="907" t="str">
        <f>A4</f>
        <v>Progettazione generale</v>
      </c>
      <c r="F24" s="908"/>
      <c r="G24" s="902">
        <f>C19</f>
        <v>4017.6514504749994</v>
      </c>
      <c r="I24" s="509"/>
      <c r="K24" s="520" t="s">
        <v>332</v>
      </c>
      <c r="L24" s="21">
        <v>0.1</v>
      </c>
      <c r="R24" s="23"/>
    </row>
    <row r="25" spans="1:18" ht="12.75" customHeight="1">
      <c r="A25" s="521" t="s">
        <v>377</v>
      </c>
      <c r="B25" s="577">
        <v>10.101577326</v>
      </c>
      <c r="C25" s="578"/>
      <c r="D25" s="538"/>
      <c r="E25" s="898"/>
      <c r="F25" s="899"/>
      <c r="G25" s="903"/>
      <c r="I25" s="509"/>
      <c r="K25" s="520" t="s">
        <v>333</v>
      </c>
      <c r="L25" s="21">
        <v>0.02</v>
      </c>
      <c r="R25" s="21"/>
    </row>
    <row r="26" spans="1:18" ht="12.75" customHeight="1">
      <c r="A26" s="223" t="s">
        <v>307</v>
      </c>
      <c r="B26" s="552">
        <f aca="true" t="shared" si="2" ref="B26:B34">L24*I39</f>
        <v>0</v>
      </c>
      <c r="C26" s="626"/>
      <c r="D26" s="538"/>
      <c r="E26" s="898" t="str">
        <f>A23</f>
        <v>Esecuzione opere edili</v>
      </c>
      <c r="F26" s="899"/>
      <c r="G26" s="903">
        <f>C37</f>
        <v>6060.9463956</v>
      </c>
      <c r="I26" s="509" t="b">
        <v>1</v>
      </c>
      <c r="J26" s="21"/>
      <c r="K26" s="520" t="s">
        <v>335</v>
      </c>
      <c r="L26" s="21">
        <v>0.25</v>
      </c>
      <c r="R26" s="21"/>
    </row>
    <row r="27" spans="1:18" ht="12.75" customHeight="1">
      <c r="A27" s="223" t="s">
        <v>308</v>
      </c>
      <c r="B27" s="552">
        <f t="shared" si="2"/>
        <v>0</v>
      </c>
      <c r="C27" s="626"/>
      <c r="D27" s="538"/>
      <c r="E27" s="898"/>
      <c r="F27" s="899"/>
      <c r="G27" s="903"/>
      <c r="I27" s="509" t="b">
        <v>1</v>
      </c>
      <c r="J27" s="21"/>
      <c r="K27" s="520" t="s">
        <v>336</v>
      </c>
      <c r="L27" s="21">
        <v>0.1</v>
      </c>
      <c r="R27" s="21"/>
    </row>
    <row r="28" spans="1:18" ht="12.75" customHeight="1">
      <c r="A28" s="223" t="s">
        <v>309</v>
      </c>
      <c r="B28" s="552">
        <f t="shared" si="2"/>
        <v>0</v>
      </c>
      <c r="C28" s="626"/>
      <c r="D28" s="538"/>
      <c r="E28" s="900" t="str">
        <f>A43</f>
        <v>Esecuzione strutture</v>
      </c>
      <c r="F28" s="901"/>
      <c r="G28" s="903">
        <f>C57</f>
        <v>5696.484307514999</v>
      </c>
      <c r="I28" s="509" t="b">
        <v>1</v>
      </c>
      <c r="J28" s="21"/>
      <c r="K28" s="520" t="s">
        <v>337</v>
      </c>
      <c r="L28" s="21">
        <v>0.15</v>
      </c>
      <c r="R28" s="21"/>
    </row>
    <row r="29" spans="1:18" ht="12.75" customHeight="1">
      <c r="A29" s="223" t="s">
        <v>310</v>
      </c>
      <c r="B29" s="552">
        <f t="shared" si="2"/>
        <v>0.1</v>
      </c>
      <c r="C29" s="626"/>
      <c r="D29" s="538"/>
      <c r="E29" s="900"/>
      <c r="F29" s="901"/>
      <c r="G29" s="903"/>
      <c r="I29" s="509" t="b">
        <v>1</v>
      </c>
      <c r="J29" s="21"/>
      <c r="K29" s="520" t="s">
        <v>338</v>
      </c>
      <c r="L29" s="21">
        <v>0.03</v>
      </c>
      <c r="M29" s="513"/>
      <c r="N29" s="576"/>
      <c r="O29" s="513"/>
      <c r="P29" s="513"/>
      <c r="R29" s="21"/>
    </row>
    <row r="30" spans="1:18" ht="12.75" customHeight="1">
      <c r="A30" s="223" t="s">
        <v>311</v>
      </c>
      <c r="B30" s="552">
        <f t="shared" si="2"/>
        <v>0</v>
      </c>
      <c r="C30" s="627"/>
      <c r="D30" s="538"/>
      <c r="E30" s="898" t="str">
        <f>E4</f>
        <v>Idrosanitorio e fogna</v>
      </c>
      <c r="F30" s="899"/>
      <c r="G30" s="903">
        <f>G19</f>
        <v>9189.808918749999</v>
      </c>
      <c r="I30" s="509" t="b">
        <v>0</v>
      </c>
      <c r="J30" s="21"/>
      <c r="K30" s="520" t="s">
        <v>339</v>
      </c>
      <c r="L30" s="21">
        <v>0.25</v>
      </c>
      <c r="M30" s="513"/>
      <c r="N30" s="513"/>
      <c r="O30" s="513"/>
      <c r="P30" s="513"/>
      <c r="R30" s="21"/>
    </row>
    <row r="31" spans="1:18" ht="12.75" customHeight="1">
      <c r="A31" s="223" t="s">
        <v>312</v>
      </c>
      <c r="B31" s="552">
        <f t="shared" si="2"/>
        <v>0.03</v>
      </c>
      <c r="C31" s="627"/>
      <c r="D31" s="538"/>
      <c r="E31" s="898"/>
      <c r="F31" s="899"/>
      <c r="G31" s="903"/>
      <c r="I31" s="509"/>
      <c r="J31" s="21"/>
      <c r="K31" s="520" t="s">
        <v>340</v>
      </c>
      <c r="L31" s="21">
        <v>0.03</v>
      </c>
      <c r="M31" s="513"/>
      <c r="Q31" s="32"/>
      <c r="R31" s="21"/>
    </row>
    <row r="32" spans="1:18" ht="12.75" customHeight="1">
      <c r="A32" s="223" t="s">
        <v>313</v>
      </c>
      <c r="B32" s="552">
        <f t="shared" si="2"/>
        <v>0.25</v>
      </c>
      <c r="C32" s="627"/>
      <c r="D32" s="538"/>
      <c r="E32" s="898" t="str">
        <f>E43</f>
        <v>Impianti elettrici e affini</v>
      </c>
      <c r="F32" s="899"/>
      <c r="G32" s="903">
        <f>G57</f>
        <v>7147.244398095001</v>
      </c>
      <c r="I32" s="509"/>
      <c r="J32" s="21"/>
      <c r="K32" s="520" t="s">
        <v>348</v>
      </c>
      <c r="L32" s="21">
        <v>0.07</v>
      </c>
      <c r="M32" s="513"/>
      <c r="Q32" s="32"/>
      <c r="R32" s="21"/>
    </row>
    <row r="33" spans="1:18" ht="12.75" customHeight="1" thickBot="1">
      <c r="A33" s="223" t="s">
        <v>314</v>
      </c>
      <c r="B33" s="552">
        <f t="shared" si="2"/>
        <v>0.03</v>
      </c>
      <c r="C33" s="627"/>
      <c r="D33" s="538"/>
      <c r="E33" s="898"/>
      <c r="F33" s="899"/>
      <c r="G33" s="903"/>
      <c r="I33" s="509"/>
      <c r="J33" s="21"/>
      <c r="L33" s="555"/>
      <c r="M33" s="513"/>
      <c r="Q33" s="32"/>
      <c r="R33" s="23"/>
    </row>
    <row r="34" spans="1:18" ht="12.75" customHeight="1">
      <c r="A34" s="223" t="s">
        <v>315</v>
      </c>
      <c r="B34" s="552">
        <f t="shared" si="2"/>
        <v>0.07</v>
      </c>
      <c r="C34" s="627"/>
      <c r="D34" s="538"/>
      <c r="E34" s="917" t="s">
        <v>44</v>
      </c>
      <c r="F34" s="918"/>
      <c r="G34" s="915">
        <f>SUM(G24:G30)</f>
        <v>24964.891072339997</v>
      </c>
      <c r="I34" s="509"/>
      <c r="J34" s="21"/>
      <c r="L34" s="23" t="s">
        <v>355</v>
      </c>
      <c r="M34" s="513"/>
      <c r="Q34" s="32"/>
      <c r="R34" s="21"/>
    </row>
    <row r="35" spans="1:18" ht="12.75" customHeight="1">
      <c r="A35" s="223" t="s">
        <v>349</v>
      </c>
      <c r="B35" s="542">
        <f>I48*(IF(SUM(B26:B34)&gt;=0.8,(1-SUM(B26:B34)),(SUM(B26:B34)*0.25)))</f>
        <v>0.12000000000000001</v>
      </c>
      <c r="C35" s="626"/>
      <c r="D35" s="538"/>
      <c r="E35" s="919"/>
      <c r="F35" s="920"/>
      <c r="G35" s="916"/>
      <c r="I35" s="509"/>
      <c r="J35" s="21"/>
      <c r="K35" s="609" t="s">
        <v>332</v>
      </c>
      <c r="L35" s="21">
        <v>0.08</v>
      </c>
      <c r="M35" s="513"/>
      <c r="N35" s="513"/>
      <c r="O35" s="513"/>
      <c r="P35" s="560"/>
      <c r="Q35" s="561"/>
      <c r="R35" s="21"/>
    </row>
    <row r="36" spans="1:18" ht="12.75" customHeight="1">
      <c r="A36" s="221" t="s">
        <v>173</v>
      </c>
      <c r="B36" s="530">
        <f>SUM(B26:B35)</f>
        <v>0.6000000000000001</v>
      </c>
      <c r="C36" s="628"/>
      <c r="D36" s="538"/>
      <c r="E36" s="919"/>
      <c r="F36" s="920"/>
      <c r="G36" s="916"/>
      <c r="I36" s="509"/>
      <c r="J36" s="21"/>
      <c r="K36" s="609" t="s">
        <v>333</v>
      </c>
      <c r="L36" s="21">
        <v>0.02</v>
      </c>
      <c r="M36" s="513"/>
      <c r="N36" s="576"/>
      <c r="O36" s="513"/>
      <c r="P36" s="560"/>
      <c r="Q36" s="561"/>
      <c r="R36" s="21"/>
    </row>
    <row r="37" spans="1:18" ht="12.75" customHeight="1">
      <c r="A37" s="215"/>
      <c r="B37" s="530"/>
      <c r="C37" s="621">
        <f>C24*B25*B36/100</f>
        <v>6060.9463956</v>
      </c>
      <c r="D37" s="538"/>
      <c r="E37" s="636"/>
      <c r="F37" s="596"/>
      <c r="G37" s="637"/>
      <c r="I37" s="509"/>
      <c r="J37" s="21"/>
      <c r="K37" s="609" t="s">
        <v>335</v>
      </c>
      <c r="L37" s="21">
        <v>0.28</v>
      </c>
      <c r="M37" s="513"/>
      <c r="N37" s="513"/>
      <c r="O37" s="513"/>
      <c r="P37" s="560"/>
      <c r="Q37" s="561"/>
      <c r="R37" s="21"/>
    </row>
    <row r="38" spans="1:18" ht="12.75" customHeight="1">
      <c r="A38" s="582"/>
      <c r="B38" s="19"/>
      <c r="C38" s="33"/>
      <c r="D38" s="538"/>
      <c r="E38" s="636"/>
      <c r="F38" s="596"/>
      <c r="G38" s="637"/>
      <c r="I38" s="509" t="s">
        <v>66</v>
      </c>
      <c r="J38" s="21"/>
      <c r="K38" s="609" t="s">
        <v>336</v>
      </c>
      <c r="L38" s="21">
        <v>0.08</v>
      </c>
      <c r="M38" s="513"/>
      <c r="N38" s="513"/>
      <c r="O38" s="513"/>
      <c r="P38" s="560"/>
      <c r="Q38" s="561"/>
      <c r="R38" s="21"/>
    </row>
    <row r="39" spans="1:18" ht="12.75" customHeight="1">
      <c r="A39" s="582"/>
      <c r="B39" s="19"/>
      <c r="C39" s="33"/>
      <c r="D39" s="538"/>
      <c r="E39" s="638"/>
      <c r="F39" s="596"/>
      <c r="G39" s="639"/>
      <c r="I39" s="509" t="b">
        <v>0</v>
      </c>
      <c r="K39" s="609" t="s">
        <v>337</v>
      </c>
      <c r="L39" s="21">
        <v>0.04</v>
      </c>
      <c r="M39" s="513"/>
      <c r="N39" s="513"/>
      <c r="O39" s="513"/>
      <c r="P39" s="560"/>
      <c r="Q39" s="561"/>
      <c r="R39" s="21"/>
    </row>
    <row r="40" spans="1:18" ht="12.75" customHeight="1">
      <c r="A40" s="582"/>
      <c r="B40" s="19"/>
      <c r="C40" s="33"/>
      <c r="D40" s="508"/>
      <c r="E40" s="636"/>
      <c r="F40" s="596"/>
      <c r="G40" s="640"/>
      <c r="I40" s="509" t="b">
        <v>0</v>
      </c>
      <c r="J40" s="21"/>
      <c r="K40" s="609" t="s">
        <v>338</v>
      </c>
      <c r="L40" s="21">
        <v>0.05</v>
      </c>
      <c r="M40" s="513"/>
      <c r="N40" s="513"/>
      <c r="O40" s="513"/>
      <c r="P40" s="560"/>
      <c r="Q40" s="561"/>
      <c r="R40" s="21"/>
    </row>
    <row r="41" spans="1:18" ht="12.75" customHeight="1" thickBot="1">
      <c r="A41" s="583"/>
      <c r="B41" s="34"/>
      <c r="C41" s="38"/>
      <c r="D41" s="508"/>
      <c r="E41" s="913"/>
      <c r="F41" s="914"/>
      <c r="G41" s="641"/>
      <c r="I41" s="509" t="b">
        <v>0</v>
      </c>
      <c r="J41" s="21"/>
      <c r="K41" s="609" t="s">
        <v>339</v>
      </c>
      <c r="L41" s="21">
        <v>0.35</v>
      </c>
      <c r="M41" s="513"/>
      <c r="N41" s="513"/>
      <c r="O41" s="513"/>
      <c r="P41" s="560"/>
      <c r="Q41" s="561"/>
      <c r="R41" s="21"/>
    </row>
    <row r="42" spans="1:18" ht="12.75" customHeight="1">
      <c r="A42" s="583"/>
      <c r="B42" s="34"/>
      <c r="C42" s="38"/>
      <c r="D42" s="508"/>
      <c r="E42" s="31"/>
      <c r="F42" s="19"/>
      <c r="G42" s="33"/>
      <c r="I42" s="509" t="b">
        <v>1</v>
      </c>
      <c r="J42" s="21"/>
      <c r="K42" s="609" t="s">
        <v>340</v>
      </c>
      <c r="L42" s="21">
        <v>0.03</v>
      </c>
      <c r="M42" s="23"/>
      <c r="Q42" s="32"/>
      <c r="R42" s="21"/>
    </row>
    <row r="43" spans="1:18" s="19" customFormat="1" ht="12.75" customHeight="1">
      <c r="A43" s="599" t="s">
        <v>71</v>
      </c>
      <c r="B43" s="515"/>
      <c r="C43" s="519" t="s">
        <v>171</v>
      </c>
      <c r="D43" s="566"/>
      <c r="E43" s="599" t="s">
        <v>92</v>
      </c>
      <c r="F43" s="515"/>
      <c r="G43" s="519" t="s">
        <v>171</v>
      </c>
      <c r="I43" s="509" t="b">
        <v>0</v>
      </c>
      <c r="J43" s="106"/>
      <c r="K43" s="609" t="s">
        <v>348</v>
      </c>
      <c r="L43" s="21">
        <v>0.07</v>
      </c>
      <c r="M43" s="21"/>
      <c r="Q43" s="150"/>
      <c r="R43" s="23"/>
    </row>
    <row r="44" spans="1:250" s="19" customFormat="1" ht="12.75" customHeight="1">
      <c r="A44" s="521" t="s">
        <v>306</v>
      </c>
      <c r="B44" s="622" t="s">
        <v>261</v>
      </c>
      <c r="C44" s="525">
        <v>45000</v>
      </c>
      <c r="D44" s="28"/>
      <c r="E44" s="521" t="s">
        <v>306</v>
      </c>
      <c r="F44" s="622" t="s">
        <v>264</v>
      </c>
      <c r="G44" s="525">
        <v>45000</v>
      </c>
      <c r="I44" s="509" t="b">
        <v>1</v>
      </c>
      <c r="J44" s="28"/>
      <c r="L44" s="23" t="s">
        <v>358</v>
      </c>
      <c r="M44" s="21"/>
      <c r="N44" s="28"/>
      <c r="O44" s="28"/>
      <c r="P44" s="28"/>
      <c r="Q44" s="28"/>
      <c r="R44" s="21"/>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row>
    <row r="45" spans="1:250" s="19" customFormat="1" ht="12.75" customHeight="1">
      <c r="A45" s="17" t="s">
        <v>377</v>
      </c>
      <c r="B45" s="528">
        <v>12.6588540167</v>
      </c>
      <c r="C45" s="529"/>
      <c r="D45" s="28"/>
      <c r="E45" s="17" t="s">
        <v>377</v>
      </c>
      <c r="F45" s="528">
        <v>15.882765329100001</v>
      </c>
      <c r="G45" s="529"/>
      <c r="I45" s="509" t="b">
        <v>1</v>
      </c>
      <c r="J45" s="28"/>
      <c r="K45" s="520" t="s">
        <v>332</v>
      </c>
      <c r="L45" s="21">
        <v>0.12</v>
      </c>
      <c r="M45" s="21"/>
      <c r="N45" s="28"/>
      <c r="O45" s="28"/>
      <c r="P45" s="28"/>
      <c r="Q45" s="28"/>
      <c r="R45" s="21"/>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row>
    <row r="46" spans="1:250" s="19" customFormat="1" ht="12.75" customHeight="1">
      <c r="A46" s="223" t="s">
        <v>307</v>
      </c>
      <c r="B46" s="552">
        <f aca="true" t="shared" si="3" ref="B46:B54">L35*I51</f>
        <v>0</v>
      </c>
      <c r="C46" s="626"/>
      <c r="D46" s="28"/>
      <c r="E46" s="223" t="s">
        <v>307</v>
      </c>
      <c r="F46" s="552">
        <f aca="true" t="shared" si="4" ref="F46:F54">L45*J51</f>
        <v>0.12</v>
      </c>
      <c r="G46" s="626"/>
      <c r="I46" s="509" t="b">
        <v>1</v>
      </c>
      <c r="J46" s="28"/>
      <c r="K46" s="520" t="s">
        <v>333</v>
      </c>
      <c r="L46" s="21">
        <v>0.03</v>
      </c>
      <c r="M46" s="21"/>
      <c r="N46" s="28"/>
      <c r="O46" s="28"/>
      <c r="P46" s="28"/>
      <c r="Q46" s="28"/>
      <c r="R46" s="21"/>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row>
    <row r="47" spans="1:250" s="19" customFormat="1" ht="12.75" customHeight="1">
      <c r="A47" s="223" t="s">
        <v>308</v>
      </c>
      <c r="B47" s="552">
        <f t="shared" si="3"/>
        <v>0</v>
      </c>
      <c r="C47" s="626"/>
      <c r="D47" s="28"/>
      <c r="E47" s="223" t="s">
        <v>308</v>
      </c>
      <c r="F47" s="552">
        <f t="shared" si="4"/>
        <v>0.03</v>
      </c>
      <c r="G47" s="626"/>
      <c r="I47" s="509" t="b">
        <v>1</v>
      </c>
      <c r="J47" s="28"/>
      <c r="K47" s="520" t="s">
        <v>335</v>
      </c>
      <c r="L47" s="21">
        <v>0.22</v>
      </c>
      <c r="M47" s="21"/>
      <c r="N47" s="28"/>
      <c r="O47" s="28"/>
      <c r="P47" s="28"/>
      <c r="Q47" s="28"/>
      <c r="R47" s="21"/>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row>
    <row r="48" spans="1:250" s="19" customFormat="1" ht="12.75" customHeight="1">
      <c r="A48" s="223" t="s">
        <v>309</v>
      </c>
      <c r="B48" s="552">
        <f t="shared" si="3"/>
        <v>0.28</v>
      </c>
      <c r="C48" s="626"/>
      <c r="D48" s="28"/>
      <c r="E48" s="223" t="s">
        <v>309</v>
      </c>
      <c r="F48" s="552">
        <f t="shared" si="4"/>
        <v>0.22</v>
      </c>
      <c r="G48" s="626"/>
      <c r="I48" s="509" t="b">
        <v>1</v>
      </c>
      <c r="J48" s="28"/>
      <c r="K48" s="520" t="s">
        <v>336</v>
      </c>
      <c r="L48" s="21">
        <v>0.1</v>
      </c>
      <c r="M48" s="21"/>
      <c r="N48" s="28"/>
      <c r="O48" s="28"/>
      <c r="P48" s="28"/>
      <c r="Q48" s="28"/>
      <c r="R48" s="21"/>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row>
    <row r="49" spans="1:18" ht="12.75" customHeight="1">
      <c r="A49" s="223" t="s">
        <v>310</v>
      </c>
      <c r="B49" s="552">
        <f t="shared" si="3"/>
        <v>0.08</v>
      </c>
      <c r="C49" s="626"/>
      <c r="D49" s="538"/>
      <c r="E49" s="223" t="s">
        <v>310</v>
      </c>
      <c r="F49" s="552">
        <f t="shared" si="4"/>
        <v>0.1</v>
      </c>
      <c r="G49" s="626"/>
      <c r="I49" s="509"/>
      <c r="J49" s="21"/>
      <c r="K49" s="520" t="s">
        <v>337</v>
      </c>
      <c r="L49" s="21">
        <v>0.08</v>
      </c>
      <c r="M49" s="21"/>
      <c r="Q49" s="32"/>
      <c r="R49" s="21"/>
    </row>
    <row r="50" spans="1:18" ht="12.75" customHeight="1">
      <c r="A50" s="223" t="s">
        <v>311</v>
      </c>
      <c r="B50" s="552">
        <f t="shared" si="3"/>
        <v>0.04</v>
      </c>
      <c r="C50" s="228"/>
      <c r="D50" s="508"/>
      <c r="E50" s="223" t="s">
        <v>311</v>
      </c>
      <c r="F50" s="552">
        <f t="shared" si="4"/>
        <v>0.08</v>
      </c>
      <c r="G50" s="228"/>
      <c r="I50" s="509"/>
      <c r="J50" s="21"/>
      <c r="K50" s="520" t="s">
        <v>338</v>
      </c>
      <c r="L50" s="21">
        <v>0.1</v>
      </c>
      <c r="M50" s="21"/>
      <c r="Q50" s="32"/>
      <c r="R50" s="21"/>
    </row>
    <row r="51" spans="1:18" ht="12.75" customHeight="1">
      <c r="A51" s="223" t="s">
        <v>312</v>
      </c>
      <c r="B51" s="552">
        <f t="shared" si="3"/>
        <v>0.05</v>
      </c>
      <c r="C51" s="228"/>
      <c r="D51" s="508"/>
      <c r="E51" s="223" t="s">
        <v>312</v>
      </c>
      <c r="F51" s="552">
        <f t="shared" si="4"/>
        <v>0.1</v>
      </c>
      <c r="G51" s="228"/>
      <c r="I51" s="509" t="b">
        <v>0</v>
      </c>
      <c r="J51" s="509" t="b">
        <v>1</v>
      </c>
      <c r="K51" s="520" t="s">
        <v>339</v>
      </c>
      <c r="L51" s="21">
        <v>0.15</v>
      </c>
      <c r="M51" s="21"/>
      <c r="Q51" s="32"/>
      <c r="R51" s="364"/>
    </row>
    <row r="52" spans="1:18" ht="12.75" customHeight="1">
      <c r="A52" s="223" t="s">
        <v>313</v>
      </c>
      <c r="B52" s="552">
        <f t="shared" si="3"/>
        <v>0.35</v>
      </c>
      <c r="C52" s="228"/>
      <c r="D52" s="508"/>
      <c r="E52" s="223" t="s">
        <v>313</v>
      </c>
      <c r="F52" s="552">
        <f t="shared" si="4"/>
        <v>0.15</v>
      </c>
      <c r="G52" s="228"/>
      <c r="I52" s="509" t="b">
        <v>0</v>
      </c>
      <c r="J52" s="509" t="b">
        <v>1</v>
      </c>
      <c r="K52" s="520" t="s">
        <v>340</v>
      </c>
      <c r="L52" s="21">
        <v>0.15</v>
      </c>
      <c r="M52" s="21"/>
      <c r="N52" s="19"/>
      <c r="Q52" s="32"/>
      <c r="R52" s="21"/>
    </row>
    <row r="53" spans="1:18" ht="12.75" customHeight="1">
      <c r="A53" s="223" t="s">
        <v>314</v>
      </c>
      <c r="B53" s="552">
        <f t="shared" si="3"/>
        <v>0.03</v>
      </c>
      <c r="C53" s="228"/>
      <c r="D53" s="508"/>
      <c r="E53" s="223" t="s">
        <v>314</v>
      </c>
      <c r="F53" s="552">
        <f t="shared" si="4"/>
        <v>0.15</v>
      </c>
      <c r="G53" s="228"/>
      <c r="I53" s="509" t="b">
        <v>1</v>
      </c>
      <c r="J53" s="509" t="b">
        <v>1</v>
      </c>
      <c r="K53" s="520" t="s">
        <v>348</v>
      </c>
      <c r="L53" s="21">
        <v>0.05</v>
      </c>
      <c r="Q53" s="32"/>
      <c r="R53" s="23"/>
    </row>
    <row r="54" spans="1:18" ht="12.75" customHeight="1">
      <c r="A54" s="223" t="s">
        <v>315</v>
      </c>
      <c r="B54" s="552">
        <f t="shared" si="3"/>
        <v>0.07</v>
      </c>
      <c r="C54" s="228"/>
      <c r="D54" s="508"/>
      <c r="E54" s="223" t="s">
        <v>315</v>
      </c>
      <c r="F54" s="552">
        <f t="shared" si="4"/>
        <v>0.05</v>
      </c>
      <c r="G54" s="228"/>
      <c r="I54" s="509" t="b">
        <v>1</v>
      </c>
      <c r="J54" s="509" t="b">
        <v>1</v>
      </c>
      <c r="L54" s="21"/>
      <c r="Q54" s="32"/>
      <c r="R54" s="21"/>
    </row>
    <row r="55" spans="1:18" ht="12.75" customHeight="1">
      <c r="A55" s="223" t="s">
        <v>349</v>
      </c>
      <c r="B55" s="535">
        <f>I60*(IF(SUM(B46:B54)&gt;=0.8,(1-SUM(B46:B54)),(SUM(B46:B54)*0.25)))</f>
        <v>0.09999999999999987</v>
      </c>
      <c r="C55" s="626"/>
      <c r="D55" s="508"/>
      <c r="E55" s="223" t="s">
        <v>349</v>
      </c>
      <c r="F55" s="535">
        <f>J60*(IF(SUM(F46:F54)&gt;=0.8,(1-SUM(F46:F54)),(SUM(F46:F54)*0.25)))</f>
        <v>0</v>
      </c>
      <c r="G55" s="626"/>
      <c r="I55" s="509" t="b">
        <v>1</v>
      </c>
      <c r="J55" s="509" t="b">
        <v>1</v>
      </c>
      <c r="L55" s="23" t="s">
        <v>356</v>
      </c>
      <c r="O55" s="21"/>
      <c r="Q55" s="32"/>
      <c r="R55" s="21"/>
    </row>
    <row r="56" spans="1:18" ht="12.75" customHeight="1">
      <c r="A56" s="221" t="s">
        <v>173</v>
      </c>
      <c r="B56" s="530">
        <f>SUM(B46:B55)</f>
        <v>1</v>
      </c>
      <c r="C56" s="629"/>
      <c r="D56" s="508"/>
      <c r="E56" s="221" t="s">
        <v>173</v>
      </c>
      <c r="F56" s="530">
        <f>SUM(F46:F55)</f>
        <v>1</v>
      </c>
      <c r="G56" s="629"/>
      <c r="I56" s="509" t="b">
        <v>1</v>
      </c>
      <c r="J56" s="509" t="b">
        <v>1</v>
      </c>
      <c r="K56" s="520" t="s">
        <v>332</v>
      </c>
      <c r="L56" s="21">
        <v>0.12</v>
      </c>
      <c r="O56" s="21"/>
      <c r="R56" s="21"/>
    </row>
    <row r="57" spans="1:18" ht="12.75" customHeight="1">
      <c r="A57" s="215" t="str">
        <f>C44&amp;" * "&amp;B45&amp;" * "&amp;B56&amp;"     ="</f>
        <v>45000 * 12,6588540167 * 1     =</v>
      </c>
      <c r="B57" s="203"/>
      <c r="C57" s="621">
        <f>C44*B45*B56/100</f>
        <v>5696.484307514999</v>
      </c>
      <c r="D57" s="508"/>
      <c r="E57" s="215" t="str">
        <f>G44&amp;" * "&amp;F45&amp;" * "&amp;F56&amp;"     ="</f>
        <v>45000 * 15,8827653291 * 1     =</v>
      </c>
      <c r="F57" s="203"/>
      <c r="G57" s="621">
        <f>G44*F45*F56/100</f>
        <v>7147.244398095001</v>
      </c>
      <c r="I57" s="509" t="b">
        <v>1</v>
      </c>
      <c r="J57" s="509" t="b">
        <v>1</v>
      </c>
      <c r="K57" s="520" t="s">
        <v>333</v>
      </c>
      <c r="L57" s="21">
        <v>0.03</v>
      </c>
      <c r="O57" s="21"/>
      <c r="R57" s="21"/>
    </row>
    <row r="58" spans="1:18" ht="12.75" customHeight="1">
      <c r="A58" s="583"/>
      <c r="B58" s="34"/>
      <c r="C58" s="38"/>
      <c r="D58" s="566"/>
      <c r="E58" s="273"/>
      <c r="F58" s="631"/>
      <c r="G58" s="632"/>
      <c r="H58" s="19"/>
      <c r="I58" s="509" t="b">
        <v>1</v>
      </c>
      <c r="J58" s="509" t="b">
        <v>1</v>
      </c>
      <c r="K58" s="520" t="s">
        <v>335</v>
      </c>
      <c r="L58" s="21">
        <v>0.22</v>
      </c>
      <c r="O58" s="21"/>
      <c r="Q58" s="32"/>
      <c r="R58" s="21"/>
    </row>
    <row r="59" spans="1:18" ht="12.75" customHeight="1">
      <c r="A59" s="37"/>
      <c r="B59" s="19"/>
      <c r="C59" s="19"/>
      <c r="D59" s="566"/>
      <c r="E59" s="162"/>
      <c r="F59" s="579"/>
      <c r="G59" s="587"/>
      <c r="H59" s="19"/>
      <c r="I59" s="509" t="b">
        <v>1</v>
      </c>
      <c r="J59" s="509" t="b">
        <v>1</v>
      </c>
      <c r="K59" s="520" t="s">
        <v>336</v>
      </c>
      <c r="L59" s="21">
        <v>0.1</v>
      </c>
      <c r="O59" s="21"/>
      <c r="Q59" s="32"/>
      <c r="R59" s="21"/>
    </row>
    <row r="60" spans="1:18" ht="12.75" customHeight="1">
      <c r="A60" s="37"/>
      <c r="B60" s="19"/>
      <c r="C60" s="19"/>
      <c r="D60" s="566"/>
      <c r="E60" s="162"/>
      <c r="F60" s="579"/>
      <c r="G60" s="588"/>
      <c r="H60" s="19"/>
      <c r="I60" s="509" t="b">
        <v>1</v>
      </c>
      <c r="J60" s="509" t="b">
        <v>1</v>
      </c>
      <c r="K60" s="520" t="s">
        <v>337</v>
      </c>
      <c r="L60" s="21">
        <v>0.08</v>
      </c>
      <c r="O60" s="21"/>
      <c r="Q60" s="32"/>
      <c r="R60" s="21"/>
    </row>
    <row r="61" spans="1:18" ht="12.75" customHeight="1">
      <c r="A61" s="37"/>
      <c r="B61" s="19"/>
      <c r="C61" s="19"/>
      <c r="D61" s="566"/>
      <c r="E61" s="142"/>
      <c r="F61" s="142"/>
      <c r="G61" s="142"/>
      <c r="H61" s="19"/>
      <c r="I61" s="509"/>
      <c r="J61" s="509"/>
      <c r="K61" s="520" t="s">
        <v>338</v>
      </c>
      <c r="L61" s="21">
        <v>0.1</v>
      </c>
      <c r="O61" s="21"/>
      <c r="Q61" s="32"/>
      <c r="R61" s="21"/>
    </row>
    <row r="62" spans="1:18" ht="12.75" customHeight="1">
      <c r="A62" s="19"/>
      <c r="B62" s="19"/>
      <c r="C62" s="16"/>
      <c r="D62" s="16"/>
      <c r="E62" s="19"/>
      <c r="F62" s="19"/>
      <c r="G62" s="19"/>
      <c r="H62" s="19"/>
      <c r="J62" s="513"/>
      <c r="K62" s="520" t="s">
        <v>339</v>
      </c>
      <c r="L62" s="21">
        <v>0.15</v>
      </c>
      <c r="M62" s="19"/>
      <c r="N62" s="19"/>
      <c r="O62" s="19"/>
      <c r="P62" s="19"/>
      <c r="R62" s="21"/>
    </row>
    <row r="63" spans="1:12" ht="12.75" customHeight="1">
      <c r="A63" s="28"/>
      <c r="B63" s="574"/>
      <c r="C63" s="2"/>
      <c r="D63" s="7"/>
      <c r="J63" s="513"/>
      <c r="K63" s="520" t="s">
        <v>340</v>
      </c>
      <c r="L63" s="21">
        <v>0.15</v>
      </c>
    </row>
    <row r="64" spans="1:12" ht="12.75" customHeight="1">
      <c r="A64" s="28"/>
      <c r="B64" s="574"/>
      <c r="C64" s="2"/>
      <c r="D64" s="2"/>
      <c r="J64" s="513"/>
      <c r="K64" s="520" t="s">
        <v>348</v>
      </c>
      <c r="L64" s="21">
        <v>0.05</v>
      </c>
    </row>
    <row r="65" spans="1:12" ht="12.75" customHeight="1">
      <c r="A65" s="1"/>
      <c r="C65" s="2"/>
      <c r="D65" s="2"/>
      <c r="L65" s="513"/>
    </row>
    <row r="66" spans="1:12" ht="12.75" customHeight="1">
      <c r="A66" s="1"/>
      <c r="C66" s="2"/>
      <c r="D66" s="2"/>
      <c r="L66" s="513"/>
    </row>
    <row r="67" spans="1:4" ht="12.75" customHeight="1">
      <c r="A67" s="1"/>
      <c r="C67" s="2"/>
      <c r="D67" s="8"/>
    </row>
    <row r="68" spans="1:4" ht="12.75" customHeight="1">
      <c r="A68" s="1"/>
      <c r="C68" s="2"/>
      <c r="D68" s="2"/>
    </row>
    <row r="69" spans="1:4" ht="12.75" customHeight="1">
      <c r="A69" s="1"/>
      <c r="B69" s="9"/>
      <c r="C69" s="2"/>
      <c r="D69" s="2"/>
    </row>
    <row r="70" spans="1:4" ht="12.75" customHeight="1">
      <c r="A70" s="4"/>
      <c r="B70" s="9"/>
      <c r="C70" s="2"/>
      <c r="D70" s="2"/>
    </row>
    <row r="71" spans="1:4" ht="12.75" customHeight="1">
      <c r="A71" s="1"/>
      <c r="C71" s="11"/>
      <c r="D71" s="2"/>
    </row>
    <row r="72" spans="1:4" ht="12.75" customHeight="1">
      <c r="A72" s="1"/>
      <c r="B72" s="2"/>
      <c r="C72" s="2"/>
      <c r="D72" s="2"/>
    </row>
    <row r="73" spans="1:4" ht="12.75" customHeight="1">
      <c r="A73" s="1"/>
      <c r="B73" s="2"/>
      <c r="C73" s="3"/>
      <c r="D73" s="7"/>
    </row>
    <row r="74" spans="1:4" ht="12.75" customHeight="1">
      <c r="A74" s="4"/>
      <c r="B74" s="13"/>
      <c r="C74" s="8"/>
      <c r="D74" s="7"/>
    </row>
    <row r="75" spans="1:4" ht="12.75" customHeight="1">
      <c r="A75" s="4"/>
      <c r="B75" s="13"/>
      <c r="C75" s="8"/>
      <c r="D75" s="2"/>
    </row>
    <row r="76" spans="1:4" ht="12.75" customHeight="1">
      <c r="A76" s="4"/>
      <c r="B76" s="13"/>
      <c r="C76" s="8"/>
      <c r="D76" s="2"/>
    </row>
    <row r="77" spans="1:4" ht="12.75" customHeight="1">
      <c r="A77" s="1"/>
      <c r="B77" s="2"/>
      <c r="C77" s="2"/>
      <c r="D77" s="2"/>
    </row>
    <row r="78" spans="1:4" ht="12.75" customHeight="1">
      <c r="A78" s="1"/>
      <c r="B78" s="2"/>
      <c r="C78" s="2"/>
      <c r="D78" s="2"/>
    </row>
    <row r="79" spans="1:4" ht="12.75" customHeight="1">
      <c r="A79" s="1"/>
      <c r="B79" s="2"/>
      <c r="C79" s="2"/>
      <c r="D79" s="2"/>
    </row>
    <row r="80" spans="1:4" ht="12.75" customHeight="1">
      <c r="A80" s="1"/>
      <c r="B80" s="2"/>
      <c r="C80" s="2"/>
      <c r="D80" s="10"/>
    </row>
    <row r="81" spans="1:4" ht="12.75" customHeight="1">
      <c r="A81" s="1"/>
      <c r="B81" s="2"/>
      <c r="C81" s="2"/>
      <c r="D81" s="2"/>
    </row>
    <row r="82" spans="1:4" ht="12.75" customHeight="1">
      <c r="A82" s="1"/>
      <c r="B82" s="2"/>
      <c r="C82" s="2"/>
      <c r="D82" s="2"/>
    </row>
    <row r="83" spans="1:4" ht="12.75" customHeight="1">
      <c r="A83" s="1"/>
      <c r="B83" s="2"/>
      <c r="C83" s="2"/>
      <c r="D83" s="2"/>
    </row>
    <row r="84" spans="1:4" ht="12.75" customHeight="1">
      <c r="A84" s="1"/>
      <c r="B84" s="2"/>
      <c r="C84" s="5"/>
      <c r="D84" s="2"/>
    </row>
    <row r="85" spans="1:4" ht="12.75" customHeight="1">
      <c r="A85" s="4"/>
      <c r="B85" s="14"/>
      <c r="C85" s="2"/>
      <c r="D85" s="2"/>
    </row>
    <row r="86" spans="1:4" ht="12.75" customHeight="1">
      <c r="A86" s="1"/>
      <c r="B86" s="2"/>
      <c r="C86" s="3"/>
      <c r="D86" s="2"/>
    </row>
    <row r="87" spans="1:4" ht="12.75" customHeight="1">
      <c r="A87" s="4"/>
      <c r="B87" s="2"/>
      <c r="C87" s="3"/>
      <c r="D87" s="2"/>
    </row>
    <row r="88" spans="1:4" ht="12.75" customHeight="1">
      <c r="A88" s="1"/>
      <c r="B88" s="2"/>
      <c r="C88" s="2"/>
      <c r="D88" s="2"/>
    </row>
    <row r="89" spans="1:4" ht="12.75" customHeight="1">
      <c r="A89" s="1"/>
      <c r="B89" s="7"/>
      <c r="C89" s="3"/>
      <c r="D89" s="2"/>
    </row>
    <row r="90" spans="1:4" ht="12.75" customHeight="1">
      <c r="A90" s="1"/>
      <c r="B90" s="7"/>
      <c r="C90" s="3"/>
      <c r="D90" s="2"/>
    </row>
    <row r="91" spans="1:4" ht="12.75" customHeight="1">
      <c r="A91" s="1"/>
      <c r="B91" s="7"/>
      <c r="C91" s="2"/>
      <c r="D91" s="2"/>
    </row>
    <row r="92" spans="1:4" ht="12.75" customHeight="1">
      <c r="A92" s="1"/>
      <c r="B92" s="7"/>
      <c r="C92" s="3"/>
      <c r="D92" s="2"/>
    </row>
    <row r="93" spans="1:4" ht="9.75">
      <c r="A93" s="1"/>
      <c r="B93" s="7"/>
      <c r="C93" s="3"/>
      <c r="D93" s="2"/>
    </row>
    <row r="94" spans="1:4" ht="9.75">
      <c r="A94" s="4"/>
      <c r="B94" s="2"/>
      <c r="C94" s="2"/>
      <c r="D94" s="2"/>
    </row>
    <row r="95" spans="1:4" ht="9.75">
      <c r="A95" s="1"/>
      <c r="B95" s="3"/>
      <c r="C95" s="3"/>
      <c r="D95" s="5"/>
    </row>
    <row r="96" spans="1:4" ht="9.75">
      <c r="A96" s="4"/>
      <c r="B96" s="2"/>
      <c r="C96" s="2"/>
      <c r="D96" s="5"/>
    </row>
    <row r="97" spans="1:4" ht="9.75">
      <c r="A97" s="4"/>
      <c r="B97" s="2"/>
      <c r="C97" s="2"/>
      <c r="D97" s="5"/>
    </row>
    <row r="98" spans="1:4" ht="9.75">
      <c r="A98" s="1"/>
      <c r="B98" s="2"/>
      <c r="C98" s="2"/>
      <c r="D98" s="10"/>
    </row>
    <row r="99" spans="1:4" ht="9.75">
      <c r="A99" s="1"/>
      <c r="B99" s="7"/>
      <c r="C99" s="2"/>
      <c r="D99" s="2"/>
    </row>
    <row r="100" spans="1:4" ht="9.75">
      <c r="A100" s="1"/>
      <c r="B100" s="2"/>
      <c r="C100" s="3"/>
      <c r="D100" s="2"/>
    </row>
    <row r="101" spans="1:4" ht="9.75">
      <c r="A101" s="4"/>
      <c r="B101" s="2"/>
      <c r="C101" s="2"/>
      <c r="D101" s="2"/>
    </row>
    <row r="102" spans="1:4" ht="9.75">
      <c r="A102" s="1"/>
      <c r="B102" s="2"/>
      <c r="C102" s="2"/>
      <c r="D102" s="2"/>
    </row>
    <row r="103" spans="1:4" ht="9.75">
      <c r="A103" s="1"/>
      <c r="B103" s="7"/>
      <c r="C103" s="2"/>
      <c r="D103" s="2"/>
    </row>
    <row r="104" spans="1:4" ht="9.75">
      <c r="A104" s="1"/>
      <c r="B104" s="7"/>
      <c r="C104" s="2"/>
      <c r="D104" s="2"/>
    </row>
    <row r="105" spans="1:4" ht="9.75">
      <c r="A105" s="1"/>
      <c r="B105" s="2"/>
      <c r="C105" s="3"/>
      <c r="D105" s="2"/>
    </row>
    <row r="106" spans="1:4" ht="9.75">
      <c r="A106" s="4"/>
      <c r="B106" s="2"/>
      <c r="C106" s="2"/>
      <c r="D106" s="2"/>
    </row>
    <row r="107" spans="1:4" ht="9.75">
      <c r="A107" s="1"/>
      <c r="B107" s="2"/>
      <c r="C107" s="2"/>
      <c r="D107" s="2"/>
    </row>
    <row r="108" spans="1:4" ht="9.75">
      <c r="A108" s="1"/>
      <c r="B108" s="2"/>
      <c r="C108" s="2"/>
      <c r="D108" s="2"/>
    </row>
    <row r="109" spans="1:4" ht="9.75">
      <c r="A109" s="1"/>
      <c r="C109" s="3"/>
      <c r="D109" s="2"/>
    </row>
    <row r="110" spans="1:4" ht="9.75">
      <c r="A110" s="1"/>
      <c r="B110" s="2"/>
      <c r="C110" s="3"/>
      <c r="D110" s="2"/>
    </row>
    <row r="111" spans="1:4" ht="9.75">
      <c r="A111" s="1"/>
      <c r="C111" s="3"/>
      <c r="D111" s="2"/>
    </row>
    <row r="112" spans="1:4" ht="9.75">
      <c r="A112" s="4"/>
      <c r="C112" s="3"/>
      <c r="D112" s="2"/>
    </row>
    <row r="113" spans="1:4" ht="9.75">
      <c r="A113" s="4"/>
      <c r="C113" s="3"/>
      <c r="D113" s="2"/>
    </row>
    <row r="114" spans="1:4" ht="9.75">
      <c r="A114" s="1"/>
      <c r="B114" s="13"/>
      <c r="C114" s="8"/>
      <c r="D114" s="2"/>
    </row>
    <row r="115" spans="1:4" ht="9.75">
      <c r="A115" s="1"/>
      <c r="B115" s="13"/>
      <c r="C115" s="3"/>
      <c r="D115" s="2"/>
    </row>
    <row r="116" spans="1:4" ht="9.75">
      <c r="A116" s="4"/>
      <c r="C116" s="3"/>
      <c r="D116" s="2"/>
    </row>
    <row r="117" spans="1:4" ht="9.75">
      <c r="A117" s="1"/>
      <c r="C117" s="3"/>
      <c r="D117" s="2"/>
    </row>
    <row r="118" spans="1:3" ht="9.75">
      <c r="A118" s="1"/>
      <c r="C118" s="3"/>
    </row>
    <row r="119" spans="1:4" ht="9.75">
      <c r="A119" s="4"/>
      <c r="C119" s="3"/>
      <c r="D119" s="15"/>
    </row>
    <row r="120" spans="1:4" ht="9.75">
      <c r="A120" s="1"/>
      <c r="C120" s="3"/>
      <c r="D120" s="7"/>
    </row>
    <row r="121" spans="1:4" ht="9.75">
      <c r="A121" s="4"/>
      <c r="B121" s="2"/>
      <c r="C121" s="2"/>
      <c r="D121" s="7"/>
    </row>
    <row r="122" spans="1:4" ht="9.75">
      <c r="A122" s="1"/>
      <c r="B122" s="2"/>
      <c r="C122" s="2"/>
      <c r="D122" s="15"/>
    </row>
    <row r="123" spans="1:4" ht="9.75">
      <c r="A123" s="1"/>
      <c r="B123" s="2"/>
      <c r="C123" s="2"/>
      <c r="D123" s="2"/>
    </row>
    <row r="124" spans="1:4" ht="9.75">
      <c r="A124" s="1"/>
      <c r="B124" s="7"/>
      <c r="C124" s="7"/>
      <c r="D124" s="2"/>
    </row>
    <row r="125" spans="1:4" ht="9.75">
      <c r="A125" s="1"/>
      <c r="B125" s="2"/>
      <c r="C125" s="3"/>
      <c r="D125" s="2"/>
    </row>
    <row r="126" spans="1:4" ht="9.75">
      <c r="A126" s="4"/>
      <c r="B126" s="2"/>
      <c r="C126" s="2"/>
      <c r="D126" s="2"/>
    </row>
    <row r="127" spans="1:4" ht="9.75">
      <c r="A127" s="4"/>
      <c r="D127" s="10"/>
    </row>
    <row r="128" spans="1:4" ht="9.75">
      <c r="A128" s="1"/>
      <c r="C128" s="3"/>
      <c r="D128" s="2"/>
    </row>
    <row r="129" spans="1:4" ht="9.75">
      <c r="A129" s="4"/>
      <c r="D129" s="2"/>
    </row>
    <row r="130" spans="1:4" ht="9.75">
      <c r="A130" s="4"/>
      <c r="D130" s="2"/>
    </row>
    <row r="131" spans="1:4" ht="9.75">
      <c r="A131" s="4"/>
      <c r="D131" s="10"/>
    </row>
    <row r="132" spans="1:4" ht="9.75">
      <c r="A132" s="4"/>
      <c r="D132" s="2"/>
    </row>
    <row r="133" spans="1:4" ht="9.75">
      <c r="A133" s="1"/>
      <c r="B133" s="5"/>
      <c r="C133" s="3"/>
      <c r="D133" s="2"/>
    </row>
    <row r="134" spans="1:4" ht="9.75">
      <c r="A134" s="4"/>
      <c r="B134" s="2"/>
      <c r="C134" s="2"/>
      <c r="D134" s="2"/>
    </row>
    <row r="135" spans="1:4" ht="9.75">
      <c r="A135" s="1"/>
      <c r="B135" s="2"/>
      <c r="C135" s="2"/>
      <c r="D135" s="2"/>
    </row>
    <row r="136" spans="1:4" ht="9.75">
      <c r="A136" s="1"/>
      <c r="B136" s="2"/>
      <c r="C136" s="2"/>
      <c r="D136" s="12"/>
    </row>
    <row r="137" spans="1:4" ht="9.75">
      <c r="A137" s="1"/>
      <c r="B137" s="5"/>
      <c r="C137" s="5"/>
      <c r="D137" s="2"/>
    </row>
    <row r="138" spans="1:4" ht="9.75">
      <c r="A138" s="1"/>
      <c r="B138" s="2"/>
      <c r="C138" s="3"/>
      <c r="D138" s="2"/>
    </row>
    <row r="139" ht="9.75">
      <c r="D139" s="2"/>
    </row>
    <row r="140" ht="9.75">
      <c r="D140" s="2"/>
    </row>
    <row r="141" ht="9.75">
      <c r="D141" s="2"/>
    </row>
    <row r="142" ht="9.75">
      <c r="D142" s="2"/>
    </row>
    <row r="143" spans="1:4" ht="9.75">
      <c r="A143" s="1"/>
      <c r="B143" s="2"/>
      <c r="C143" s="2"/>
      <c r="D143" s="2"/>
    </row>
    <row r="144" spans="1:4" ht="9.75">
      <c r="A144" s="1"/>
      <c r="B144" s="2"/>
      <c r="C144" s="2"/>
      <c r="D144" s="8"/>
    </row>
    <row r="145" spans="1:4" ht="9.75">
      <c r="A145" s="1"/>
      <c r="B145" s="2"/>
      <c r="C145" s="3"/>
      <c r="D145" s="2"/>
    </row>
    <row r="146" spans="1:4" ht="9.75">
      <c r="A146" s="1"/>
      <c r="B146" s="2"/>
      <c r="C146" s="3"/>
      <c r="D146" s="2"/>
    </row>
    <row r="147" spans="1:4" ht="9.75">
      <c r="A147" s="1"/>
      <c r="D147" s="8"/>
    </row>
    <row r="148" spans="1:4" ht="9.75">
      <c r="A148" s="4"/>
      <c r="D148" s="2"/>
    </row>
    <row r="149" spans="1:4" ht="9.75">
      <c r="A149" s="1"/>
      <c r="B149" s="2"/>
      <c r="C149" s="2"/>
      <c r="D149" s="2"/>
    </row>
    <row r="150" spans="1:4" ht="9.75">
      <c r="A150" s="1"/>
      <c r="C150" s="2"/>
      <c r="D150" s="2"/>
    </row>
    <row r="151" spans="1:4" ht="9.75">
      <c r="A151" s="1"/>
      <c r="C151" s="2"/>
      <c r="D151" s="2"/>
    </row>
    <row r="152" spans="1:4" ht="9.75">
      <c r="A152" s="1"/>
      <c r="C152" s="2"/>
      <c r="D152" s="2"/>
    </row>
    <row r="153" spans="1:4" ht="9.75">
      <c r="A153" s="1"/>
      <c r="C153" s="2"/>
      <c r="D153" s="7"/>
    </row>
    <row r="154" spans="1:4" ht="9.75">
      <c r="A154" s="1"/>
      <c r="C154" s="2"/>
      <c r="D154" s="7"/>
    </row>
    <row r="155" spans="1:4" ht="9.75">
      <c r="A155" s="1"/>
      <c r="C155" s="2"/>
      <c r="D155" s="2"/>
    </row>
    <row r="156" spans="1:4" ht="9.75">
      <c r="A156" s="1"/>
      <c r="C156" s="2"/>
      <c r="D156" s="2"/>
    </row>
    <row r="157" spans="1:4" ht="9.75">
      <c r="A157" s="1"/>
      <c r="C157" s="2"/>
      <c r="D157" s="2"/>
    </row>
    <row r="158" spans="1:4" ht="9.75">
      <c r="A158" s="1"/>
      <c r="C158" s="2"/>
      <c r="D158" s="2"/>
    </row>
    <row r="159" spans="1:4" ht="9.75">
      <c r="A159" s="1"/>
      <c r="B159" s="9"/>
      <c r="C159" s="2"/>
      <c r="D159" s="2"/>
    </row>
    <row r="160" spans="1:4" ht="9.75">
      <c r="A160" s="4"/>
      <c r="B160" s="9"/>
      <c r="C160" s="2"/>
      <c r="D160" s="2"/>
    </row>
    <row r="161" spans="1:4" ht="9.75">
      <c r="A161" s="1"/>
      <c r="C161" s="11"/>
      <c r="D161" s="2"/>
    </row>
    <row r="162" spans="1:4" ht="9.75">
      <c r="A162" s="1"/>
      <c r="B162" s="2"/>
      <c r="C162" s="2"/>
      <c r="D162" s="2"/>
    </row>
    <row r="163" spans="1:4" ht="9.75">
      <c r="A163" s="1"/>
      <c r="B163" s="2"/>
      <c r="C163" s="3"/>
      <c r="D163" s="2"/>
    </row>
    <row r="164" spans="1:4" ht="9.75">
      <c r="A164" s="4"/>
      <c r="B164" s="13"/>
      <c r="C164" s="8"/>
      <c r="D164" s="2"/>
    </row>
    <row r="165" spans="1:4" ht="9.75">
      <c r="A165" s="1"/>
      <c r="B165" s="13"/>
      <c r="C165" s="8"/>
      <c r="D165" s="2"/>
    </row>
    <row r="166" spans="1:4" ht="9.75">
      <c r="A166" s="1"/>
      <c r="B166" s="13"/>
      <c r="C166" s="3"/>
      <c r="D166" s="2"/>
    </row>
    <row r="167" spans="1:4" ht="9.75">
      <c r="A167" s="4"/>
      <c r="B167" s="13"/>
      <c r="C167" s="8"/>
      <c r="D167" s="2"/>
    </row>
    <row r="168" spans="1:3" ht="9.75">
      <c r="A168" s="4"/>
      <c r="B168" s="13"/>
      <c r="C168" s="8"/>
    </row>
    <row r="169" spans="1:3" ht="9.75">
      <c r="A169" s="1"/>
      <c r="B169" s="13"/>
      <c r="C169" s="8"/>
    </row>
    <row r="170" spans="1:3" ht="9.75">
      <c r="A170" s="1"/>
      <c r="B170" s="13"/>
      <c r="C170" s="3"/>
    </row>
    <row r="171" spans="1:3" ht="9.75">
      <c r="A171" s="4"/>
      <c r="B171" s="13"/>
      <c r="C171" s="8"/>
    </row>
    <row r="172" spans="1:3" ht="9.75">
      <c r="A172" s="1"/>
      <c r="C172" s="3"/>
    </row>
    <row r="173" spans="1:3" ht="9.75">
      <c r="A173" s="4"/>
      <c r="B173" s="2"/>
      <c r="C173" s="2"/>
    </row>
    <row r="174" spans="1:3" ht="9.75">
      <c r="A174" s="1"/>
      <c r="B174" s="2"/>
      <c r="C174" s="2"/>
    </row>
    <row r="175" spans="1:3" ht="9.75">
      <c r="A175" s="1"/>
      <c r="B175" s="2"/>
      <c r="C175" s="2"/>
    </row>
    <row r="176" spans="1:3" ht="9.75">
      <c r="A176" s="1"/>
      <c r="B176" s="7"/>
      <c r="C176" s="7"/>
    </row>
    <row r="177" spans="1:3" ht="9.75">
      <c r="A177" s="1"/>
      <c r="B177" s="3"/>
      <c r="C177" s="3"/>
    </row>
    <row r="178" spans="1:3" ht="9.75">
      <c r="A178" s="4"/>
      <c r="B178" s="13"/>
      <c r="C178" s="8"/>
    </row>
  </sheetData>
  <sheetProtection password="811F" sheet="1"/>
  <mergeCells count="15">
    <mergeCell ref="E26:F27"/>
    <mergeCell ref="E28:F29"/>
    <mergeCell ref="G24:G25"/>
    <mergeCell ref="G26:G27"/>
    <mergeCell ref="G28:G29"/>
    <mergeCell ref="A1:G1"/>
    <mergeCell ref="E22:G23"/>
    <mergeCell ref="E41:F41"/>
    <mergeCell ref="G30:G31"/>
    <mergeCell ref="G34:G36"/>
    <mergeCell ref="E30:F31"/>
    <mergeCell ref="E34:F36"/>
    <mergeCell ref="E32:F33"/>
    <mergeCell ref="G32:G33"/>
    <mergeCell ref="E24:F25"/>
  </mergeCells>
  <printOptions/>
  <pageMargins left="0.68" right="0.26" top="0.72" bottom="0.56" header="0.31" footer="0.56"/>
  <pageSetup horizontalDpi="180" verticalDpi="180" orientation="portrait" pageOrder="overThenDown" paperSize="9" scale="90"/>
  <headerFooter alignWithMargins="0">
    <oddHeader>&amp;R
</oddHeader>
  </headerFooter>
  <drawing r:id="rId1"/>
</worksheet>
</file>

<file path=xl/worksheets/sheet6.xml><?xml version="1.0" encoding="utf-8"?>
<worksheet xmlns="http://schemas.openxmlformats.org/spreadsheetml/2006/main" xmlns:r="http://schemas.openxmlformats.org/officeDocument/2006/relationships">
  <sheetPr codeName="Foglio1"/>
  <dimension ref="A1:IP178"/>
  <sheetViews>
    <sheetView zoomScale="115" zoomScaleNormal="115" zoomScaleSheetLayoutView="130" zoomScalePageLayoutView="0" workbookViewId="0" topLeftCell="A37">
      <selection activeCell="A1" sqref="A1:G1"/>
    </sheetView>
  </sheetViews>
  <sheetFormatPr defaultColWidth="9.140625" defaultRowHeight="12.75"/>
  <cols>
    <col min="1" max="1" width="29.7109375" style="36" customWidth="1"/>
    <col min="2" max="2" width="7.421875" style="6" customWidth="1"/>
    <col min="3" max="3" width="13.28125" style="6" customWidth="1"/>
    <col min="4" max="4" width="1.7109375" style="6" customWidth="1"/>
    <col min="5" max="5" width="29.7109375" style="6" customWidth="1"/>
    <col min="6" max="6" width="7.421875" style="6" customWidth="1"/>
    <col min="7" max="7" width="13.140625" style="6" customWidth="1"/>
    <col min="8" max="8" width="5.00390625" style="6" customWidth="1"/>
    <col min="9" max="9" width="0.13671875" style="6" hidden="1" customWidth="1"/>
    <col min="10" max="10" width="10.140625" style="6" hidden="1" customWidth="1"/>
    <col min="11" max="11" width="8.7109375" style="6" hidden="1" customWidth="1"/>
    <col min="12" max="12" width="6.8515625" style="6" hidden="1" customWidth="1"/>
    <col min="13" max="13" width="6.7109375" style="6" hidden="1" customWidth="1"/>
    <col min="14" max="14" width="3.421875" style="6" customWidth="1"/>
    <col min="15" max="15" width="38.140625" style="6" customWidth="1"/>
    <col min="16" max="16" width="7.8515625" style="6" hidden="1" customWidth="1"/>
    <col min="17" max="17" width="6.7109375" style="6" hidden="1" customWidth="1"/>
    <col min="18" max="18" width="42.421875" style="6" customWidth="1"/>
    <col min="19" max="19" width="35.421875" style="6" customWidth="1"/>
    <col min="20" max="20" width="2.8515625" style="6" customWidth="1"/>
    <col min="21" max="21" width="16.421875" style="6" customWidth="1"/>
    <col min="22" max="22" width="8.8515625" style="6" customWidth="1"/>
    <col min="23" max="48" width="9.140625" style="6" customWidth="1"/>
    <col min="49" max="49" width="8.421875" style="6" customWidth="1"/>
    <col min="50" max="50" width="9.140625" style="6" hidden="1" customWidth="1"/>
    <col min="51" max="16384" width="9.140625" style="6" customWidth="1"/>
  </cols>
  <sheetData>
    <row r="1" spans="1:7" ht="31.5" customHeight="1" thickBot="1">
      <c r="A1" s="924" t="s">
        <v>165</v>
      </c>
      <c r="B1" s="925"/>
      <c r="C1" s="925"/>
      <c r="D1" s="925"/>
      <c r="E1" s="925"/>
      <c r="F1" s="925"/>
      <c r="G1" s="926"/>
    </row>
    <row r="2" spans="1:50" ht="24" customHeight="1">
      <c r="A2" s="505" t="s">
        <v>166</v>
      </c>
      <c r="B2" s="506" t="s">
        <v>382</v>
      </c>
      <c r="C2" s="507" t="s">
        <v>167</v>
      </c>
      <c r="D2" s="508"/>
      <c r="E2" s="505"/>
      <c r="F2" s="506" t="s">
        <v>382</v>
      </c>
      <c r="G2" s="665"/>
      <c r="I2" s="509"/>
      <c r="J2" s="510"/>
      <c r="K2" s="511" t="s">
        <v>166</v>
      </c>
      <c r="AX2" s="511" t="s">
        <v>166</v>
      </c>
    </row>
    <row r="3" spans="1:18" ht="12.75" customHeight="1">
      <c r="A3" s="17"/>
      <c r="B3" s="16"/>
      <c r="C3" s="18"/>
      <c r="D3" s="508"/>
      <c r="E3" s="17"/>
      <c r="F3" s="16"/>
      <c r="G3" s="18"/>
      <c r="I3" s="509"/>
      <c r="J3" s="512"/>
      <c r="L3" s="23" t="s">
        <v>345</v>
      </c>
      <c r="M3" s="513"/>
      <c r="N3" s="513"/>
      <c r="R3" s="23"/>
    </row>
    <row r="4" spans="1:18" ht="12.75" customHeight="1">
      <c r="A4" s="514" t="s">
        <v>168</v>
      </c>
      <c r="B4" s="515"/>
      <c r="C4" s="516" t="s">
        <v>169</v>
      </c>
      <c r="D4" s="508"/>
      <c r="E4" s="634" t="s">
        <v>170</v>
      </c>
      <c r="F4" s="518"/>
      <c r="G4" s="519" t="s">
        <v>171</v>
      </c>
      <c r="I4" s="509"/>
      <c r="J4" s="510"/>
      <c r="K4" s="520" t="s">
        <v>332</v>
      </c>
      <c r="L4" s="21">
        <v>0.1</v>
      </c>
      <c r="M4" s="513"/>
      <c r="N4" s="21"/>
      <c r="O4" s="21"/>
      <c r="R4" s="21"/>
    </row>
    <row r="5" spans="1:18" ht="12.75" customHeight="1">
      <c r="A5" s="521" t="s">
        <v>306</v>
      </c>
      <c r="B5" s="522" t="s">
        <v>257</v>
      </c>
      <c r="C5" s="523">
        <v>400000</v>
      </c>
      <c r="D5" s="508"/>
      <c r="E5" s="620" t="s">
        <v>306</v>
      </c>
      <c r="F5" s="524" t="s">
        <v>262</v>
      </c>
      <c r="G5" s="525">
        <v>10000</v>
      </c>
      <c r="I5" s="509"/>
      <c r="J5" s="510"/>
      <c r="K5" s="520" t="s">
        <v>333</v>
      </c>
      <c r="L5" s="21">
        <v>0.02</v>
      </c>
      <c r="M5" s="513"/>
      <c r="N5" s="21"/>
      <c r="O5" s="21"/>
      <c r="R5" s="21"/>
    </row>
    <row r="6" spans="1:18" ht="12.75" customHeight="1">
      <c r="A6" s="17" t="s">
        <v>377</v>
      </c>
      <c r="B6" s="526">
        <v>5.814383632</v>
      </c>
      <c r="C6" s="527"/>
      <c r="D6" s="508"/>
      <c r="E6" s="223" t="s">
        <v>377</v>
      </c>
      <c r="F6" s="528">
        <v>15.160577326</v>
      </c>
      <c r="G6" s="529"/>
      <c r="I6" s="509"/>
      <c r="J6" s="512"/>
      <c r="K6" s="520" t="s">
        <v>335</v>
      </c>
      <c r="L6" s="21">
        <v>0.25</v>
      </c>
      <c r="M6" s="513"/>
      <c r="N6" s="21"/>
      <c r="O6" s="21"/>
      <c r="R6" s="21"/>
    </row>
    <row r="7" spans="1:18" ht="12.75" customHeight="1">
      <c r="A7" s="222" t="s">
        <v>172</v>
      </c>
      <c r="B7" s="229"/>
      <c r="C7" s="623"/>
      <c r="D7" s="508"/>
      <c r="E7" s="222" t="s">
        <v>172</v>
      </c>
      <c r="F7" s="528"/>
      <c r="G7" s="529"/>
      <c r="I7" s="509"/>
      <c r="J7" s="512"/>
      <c r="K7" s="520" t="s">
        <v>336</v>
      </c>
      <c r="L7" s="21">
        <v>0.1</v>
      </c>
      <c r="M7" s="513"/>
      <c r="N7" s="21"/>
      <c r="O7" s="21"/>
      <c r="R7" s="21"/>
    </row>
    <row r="8" spans="1:18" ht="12.75" customHeight="1">
      <c r="A8" s="223" t="s">
        <v>307</v>
      </c>
      <c r="B8" s="530">
        <f aca="true" t="shared" si="0" ref="B8:B16">L4*I8</f>
        <v>0.1</v>
      </c>
      <c r="C8" s="624"/>
      <c r="D8" s="508"/>
      <c r="E8" s="223" t="s">
        <v>307</v>
      </c>
      <c r="F8" s="531">
        <f>L56*J8</f>
        <v>0.12</v>
      </c>
      <c r="G8" s="532"/>
      <c r="I8" s="509" t="b">
        <v>1</v>
      </c>
      <c r="J8" s="533" t="b">
        <v>1</v>
      </c>
      <c r="K8" s="520" t="s">
        <v>337</v>
      </c>
      <c r="L8" s="21">
        <v>0.15</v>
      </c>
      <c r="M8" s="513"/>
      <c r="N8" s="21"/>
      <c r="O8" s="21"/>
      <c r="R8" s="21"/>
    </row>
    <row r="9" spans="1:21" ht="12.75" customHeight="1">
      <c r="A9" s="223" t="s">
        <v>308</v>
      </c>
      <c r="B9" s="530">
        <f t="shared" si="0"/>
        <v>0.02</v>
      </c>
      <c r="C9" s="624"/>
      <c r="D9" s="508"/>
      <c r="E9" s="223" t="s">
        <v>308</v>
      </c>
      <c r="F9" s="531">
        <f>L57*J9</f>
        <v>0.03</v>
      </c>
      <c r="G9" s="532"/>
      <c r="I9" s="509" t="b">
        <v>1</v>
      </c>
      <c r="J9" s="533" t="b">
        <v>1</v>
      </c>
      <c r="K9" s="520" t="s">
        <v>338</v>
      </c>
      <c r="L9" s="21">
        <v>0.03</v>
      </c>
      <c r="M9" s="513"/>
      <c r="N9" s="21"/>
      <c r="O9" s="21"/>
      <c r="Q9" s="21"/>
      <c r="R9" s="21"/>
      <c r="U9" s="21"/>
    </row>
    <row r="10" spans="1:21" ht="12.75" customHeight="1">
      <c r="A10" s="223" t="s">
        <v>309</v>
      </c>
      <c r="B10" s="530">
        <f t="shared" si="0"/>
        <v>0.25</v>
      </c>
      <c r="C10" s="625"/>
      <c r="D10" s="508"/>
      <c r="E10" s="223" t="s">
        <v>309</v>
      </c>
      <c r="F10" s="531">
        <f>L58*J10</f>
        <v>0.22</v>
      </c>
      <c r="G10" s="532"/>
      <c r="I10" s="509" t="b">
        <v>1</v>
      </c>
      <c r="J10" s="533" t="b">
        <v>1</v>
      </c>
      <c r="K10" s="520" t="s">
        <v>339</v>
      </c>
      <c r="L10" s="21">
        <v>0.25</v>
      </c>
      <c r="M10" s="513"/>
      <c r="N10" s="21"/>
      <c r="O10" s="21"/>
      <c r="Q10" s="21"/>
      <c r="R10" s="21"/>
      <c r="U10" s="21"/>
    </row>
    <row r="11" spans="1:21" ht="12.75" customHeight="1">
      <c r="A11" s="223" t="s">
        <v>310</v>
      </c>
      <c r="B11" s="530">
        <f t="shared" si="0"/>
        <v>0.1</v>
      </c>
      <c r="C11" s="625"/>
      <c r="D11" s="508"/>
      <c r="E11" s="223" t="s">
        <v>311</v>
      </c>
      <c r="F11" s="531">
        <f>L60*J11</f>
        <v>0.08</v>
      </c>
      <c r="G11" s="532"/>
      <c r="I11" s="509" t="b">
        <v>1</v>
      </c>
      <c r="J11" s="534" t="b">
        <v>1</v>
      </c>
      <c r="K11" s="520" t="s">
        <v>340</v>
      </c>
      <c r="L11" s="21">
        <v>0.03</v>
      </c>
      <c r="M11" s="513"/>
      <c r="N11" s="21"/>
      <c r="O11" s="21"/>
      <c r="Q11" s="21"/>
      <c r="R11" s="21"/>
      <c r="U11" s="21"/>
    </row>
    <row r="12" spans="1:21" ht="12.75" customHeight="1">
      <c r="A12" s="223" t="s">
        <v>311</v>
      </c>
      <c r="B12" s="530">
        <f t="shared" si="0"/>
        <v>0.15</v>
      </c>
      <c r="C12" s="625"/>
      <c r="D12" s="508"/>
      <c r="E12" s="223" t="s">
        <v>349</v>
      </c>
      <c r="F12" s="535">
        <f>SUM(F8:F11)*0.25*J12</f>
        <v>0.1125</v>
      </c>
      <c r="G12" s="532"/>
      <c r="I12" s="509" t="b">
        <v>1</v>
      </c>
      <c r="J12" s="534" t="b">
        <v>1</v>
      </c>
      <c r="K12" s="520" t="s">
        <v>348</v>
      </c>
      <c r="L12" s="21">
        <v>0.07</v>
      </c>
      <c r="M12" s="513"/>
      <c r="N12" s="21"/>
      <c r="O12" s="21"/>
      <c r="Q12" s="21"/>
      <c r="R12" s="21"/>
      <c r="U12" s="21"/>
    </row>
    <row r="13" spans="1:21" ht="12.75" customHeight="1">
      <c r="A13" s="223" t="s">
        <v>312</v>
      </c>
      <c r="B13" s="530">
        <f t="shared" si="0"/>
        <v>0.03</v>
      </c>
      <c r="C13" s="625"/>
      <c r="D13" s="508"/>
      <c r="E13" s="221" t="s">
        <v>173</v>
      </c>
      <c r="F13" s="530">
        <f>SUM(F8:F12)</f>
        <v>0.5625</v>
      </c>
      <c r="G13" s="537"/>
      <c r="I13" s="509" t="b">
        <v>1</v>
      </c>
      <c r="J13" s="510"/>
      <c r="L13" s="109"/>
      <c r="M13" s="513"/>
      <c r="O13" s="21"/>
      <c r="Q13" s="21"/>
      <c r="U13" s="21"/>
    </row>
    <row r="14" spans="1:12" ht="12.75" customHeight="1">
      <c r="A14" s="223" t="s">
        <v>313</v>
      </c>
      <c r="B14" s="530">
        <f t="shared" si="0"/>
        <v>0.25</v>
      </c>
      <c r="C14" s="625"/>
      <c r="D14" s="538"/>
      <c r="E14" s="215" t="str">
        <f>G5&amp;" * "&amp;F6&amp;" * "&amp;F13&amp;"     ="</f>
        <v>10000 * 15,160577326 * 0,5625     =</v>
      </c>
      <c r="F14" s="29"/>
      <c r="G14" s="621">
        <f>G5*F6*F13/100</f>
        <v>852.7824745875</v>
      </c>
      <c r="I14" s="509" t="b">
        <v>1</v>
      </c>
      <c r="J14" s="510"/>
      <c r="L14" s="513"/>
    </row>
    <row r="15" spans="1:12" ht="12.75" customHeight="1">
      <c r="A15" s="223" t="s">
        <v>314</v>
      </c>
      <c r="B15" s="530">
        <f t="shared" si="0"/>
        <v>0.03</v>
      </c>
      <c r="C15" s="625"/>
      <c r="D15" s="538"/>
      <c r="E15" s="521"/>
      <c r="F15" s="540"/>
      <c r="G15" s="541"/>
      <c r="I15" s="509" t="b">
        <v>1</v>
      </c>
      <c r="L15" s="513"/>
    </row>
    <row r="16" spans="1:12" ht="12.75" customHeight="1">
      <c r="A16" s="223" t="s">
        <v>315</v>
      </c>
      <c r="B16" s="530">
        <f t="shared" si="0"/>
        <v>0.07</v>
      </c>
      <c r="C16" s="625"/>
      <c r="D16" s="538"/>
      <c r="E16" s="613"/>
      <c r="F16" s="614"/>
      <c r="G16" s="666"/>
      <c r="I16" s="509" t="b">
        <v>1</v>
      </c>
      <c r="L16" s="513"/>
    </row>
    <row r="17" spans="1:12" ht="12.75" customHeight="1">
      <c r="A17" s="223" t="s">
        <v>349</v>
      </c>
      <c r="B17" s="542">
        <f>I17*(IF(SUM(B8:B16)&gt;=0.8,(1-SUM(B8:B16)),(SUM(B8:B16)*0.25)))</f>
        <v>0</v>
      </c>
      <c r="C17" s="624"/>
      <c r="D17" s="538"/>
      <c r="E17" s="930" t="s">
        <v>174</v>
      </c>
      <c r="F17" s="931"/>
      <c r="G17" s="932"/>
      <c r="I17" s="509" t="b">
        <v>0</v>
      </c>
      <c r="L17" s="513"/>
    </row>
    <row r="18" spans="1:12" ht="12.75" customHeight="1">
      <c r="A18" s="221" t="s">
        <v>173</v>
      </c>
      <c r="B18" s="530">
        <f>SUM(B8:B17)</f>
        <v>1</v>
      </c>
      <c r="C18" s="629"/>
      <c r="D18" s="538"/>
      <c r="E18" s="933"/>
      <c r="F18" s="934"/>
      <c r="G18" s="935"/>
      <c r="I18" s="509"/>
      <c r="L18" s="513"/>
    </row>
    <row r="19" spans="1:12" ht="12.75" customHeight="1">
      <c r="A19" s="215" t="str">
        <f>C5&amp;" * "&amp;B6&amp;" * "&amp;B18&amp;"   ="</f>
        <v>400000 * 5,814383632 * 1   =</v>
      </c>
      <c r="B19" s="203"/>
      <c r="C19" s="621">
        <f>C5*B6*B18/100</f>
        <v>23257.534528</v>
      </c>
      <c r="D19" s="538"/>
      <c r="E19" s="31"/>
      <c r="F19" s="19"/>
      <c r="G19" s="584"/>
      <c r="I19" s="509"/>
      <c r="L19" s="513"/>
    </row>
    <row r="20" spans="1:12" ht="12.75" customHeight="1">
      <c r="A20" s="31"/>
      <c r="B20" s="29"/>
      <c r="C20" s="30"/>
      <c r="D20" s="538"/>
      <c r="E20" s="17" t="str">
        <f>A4</f>
        <v>OPERE EDILI PREPARATORIE</v>
      </c>
      <c r="F20" s="543"/>
      <c r="G20" s="105">
        <f>C19</f>
        <v>23257.534528</v>
      </c>
      <c r="I20" s="509"/>
      <c r="L20" s="513"/>
    </row>
    <row r="21" spans="1:12" ht="12.75" customHeight="1">
      <c r="A21" s="521"/>
      <c r="B21" s="545"/>
      <c r="C21" s="35"/>
      <c r="D21" s="538"/>
      <c r="E21" s="544" t="str">
        <f>A27</f>
        <v>ARREDI  ACQUISTATI</v>
      </c>
      <c r="F21" s="16"/>
      <c r="G21" s="26">
        <f>C34</f>
        <v>10070.106255436169</v>
      </c>
      <c r="I21" s="509"/>
      <c r="L21" s="513"/>
    </row>
    <row r="22" spans="1:12" ht="12.75" customHeight="1">
      <c r="A22" s="927" t="s">
        <v>175</v>
      </c>
      <c r="B22" s="928"/>
      <c r="C22" s="929"/>
      <c r="D22" s="538"/>
      <c r="E22" s="544" t="str">
        <f>A38</f>
        <v>ARREDI REALIZZATI SU DISEGNO</v>
      </c>
      <c r="F22" s="16"/>
      <c r="G22" s="26">
        <f>C50</f>
        <v>14226.891606315585</v>
      </c>
      <c r="I22" s="509"/>
      <c r="L22" s="513"/>
    </row>
    <row r="23" spans="1:12" ht="12.75" customHeight="1">
      <c r="A23" s="927"/>
      <c r="B23" s="928"/>
      <c r="C23" s="929"/>
      <c r="D23" s="538"/>
      <c r="E23" s="546" t="str">
        <f>A52</f>
        <v>PROGETTAZIONE IMPIANTI ELETTRICI</v>
      </c>
      <c r="F23" s="16"/>
      <c r="G23" s="26">
        <f>C61</f>
        <v>576.2951480593125</v>
      </c>
      <c r="I23" s="509"/>
      <c r="L23" s="23" t="s">
        <v>347</v>
      </c>
    </row>
    <row r="24" spans="1:18" ht="12.75" customHeight="1" thickBot="1">
      <c r="A24" s="17" t="s">
        <v>306</v>
      </c>
      <c r="B24" s="547" t="s">
        <v>259</v>
      </c>
      <c r="C24" s="548">
        <f>C27+C38</f>
        <v>344595.53</v>
      </c>
      <c r="D24" s="538"/>
      <c r="E24" s="17" t="str">
        <f>E4</f>
        <v>PROGETTAZIONE TERMOIDRAULICA</v>
      </c>
      <c r="F24" s="20"/>
      <c r="G24" s="611">
        <f>G14</f>
        <v>852.7824745875</v>
      </c>
      <c r="I24" s="509"/>
      <c r="K24" s="520" t="s">
        <v>332</v>
      </c>
      <c r="L24" s="21">
        <v>0.12</v>
      </c>
      <c r="R24" s="23"/>
    </row>
    <row r="25" spans="1:18" ht="12.75" customHeight="1" thickTop="1">
      <c r="A25" s="17" t="s">
        <v>377</v>
      </c>
      <c r="B25" s="528">
        <v>9.74099137369945</v>
      </c>
      <c r="C25" s="529"/>
      <c r="D25" s="538"/>
      <c r="E25" s="544" t="s">
        <v>44</v>
      </c>
      <c r="F25" s="16"/>
      <c r="G25" s="18">
        <f>SUM(G20:G24)</f>
        <v>48983.61001239856</v>
      </c>
      <c r="I25" s="509"/>
      <c r="K25" s="520" t="s">
        <v>333</v>
      </c>
      <c r="L25" s="21">
        <v>0.02</v>
      </c>
      <c r="R25" s="21"/>
    </row>
    <row r="26" spans="1:18" ht="12.75" customHeight="1">
      <c r="A26" s="31"/>
      <c r="B26" s="19"/>
      <c r="C26" s="33"/>
      <c r="D26" s="538"/>
      <c r="E26" s="546"/>
      <c r="F26" s="20"/>
      <c r="G26" s="18"/>
      <c r="I26" s="509" t="b">
        <v>1</v>
      </c>
      <c r="J26" s="21"/>
      <c r="K26" s="520" t="s">
        <v>335</v>
      </c>
      <c r="L26" s="21">
        <v>0.28</v>
      </c>
      <c r="R26" s="21"/>
    </row>
    <row r="27" spans="1:18" ht="12.75" customHeight="1">
      <c r="A27" s="549" t="s">
        <v>45</v>
      </c>
      <c r="B27" s="550" t="s">
        <v>46</v>
      </c>
      <c r="C27" s="551">
        <v>201263.25</v>
      </c>
      <c r="D27" s="538"/>
      <c r="E27" s="536" t="s">
        <v>319</v>
      </c>
      <c r="F27" s="16"/>
      <c r="G27" s="18"/>
      <c r="I27" s="509" t="b">
        <v>1</v>
      </c>
      <c r="J27" s="21"/>
      <c r="K27" s="520" t="s">
        <v>336</v>
      </c>
      <c r="L27" s="21">
        <v>0.08</v>
      </c>
      <c r="R27" s="21"/>
    </row>
    <row r="28" spans="1:18" ht="12.75" customHeight="1">
      <c r="A28" s="223" t="s">
        <v>307</v>
      </c>
      <c r="B28" s="552">
        <f>L24</f>
        <v>0.12</v>
      </c>
      <c r="C28" s="635"/>
      <c r="D28" s="538"/>
      <c r="E28" s="546" t="s">
        <v>320</v>
      </c>
      <c r="F28" s="102"/>
      <c r="G28" s="553"/>
      <c r="I28" s="509" t="b">
        <v>1</v>
      </c>
      <c r="J28" s="21"/>
      <c r="K28" s="520" t="s">
        <v>337</v>
      </c>
      <c r="L28" s="21">
        <v>0.2</v>
      </c>
      <c r="R28" s="21"/>
    </row>
    <row r="29" spans="1:18" ht="12.75" customHeight="1">
      <c r="A29" s="223" t="s">
        <v>308</v>
      </c>
      <c r="B29" s="552">
        <f>L25</f>
        <v>0.02</v>
      </c>
      <c r="C29" s="635"/>
      <c r="D29" s="538"/>
      <c r="E29" s="17" t="s">
        <v>321</v>
      </c>
      <c r="F29" s="20">
        <v>0.45</v>
      </c>
      <c r="G29" s="554"/>
      <c r="I29" s="509" t="b">
        <v>1</v>
      </c>
      <c r="J29" s="21"/>
      <c r="K29" s="520" t="s">
        <v>338</v>
      </c>
      <c r="L29" s="21">
        <v>0.03</v>
      </c>
      <c r="M29" s="513"/>
      <c r="N29" s="576"/>
      <c r="O29" s="513"/>
      <c r="P29" s="513"/>
      <c r="R29" s="21"/>
    </row>
    <row r="30" spans="1:18" ht="12.75" customHeight="1">
      <c r="A30" s="223" t="s">
        <v>310</v>
      </c>
      <c r="B30" s="552">
        <f>L27</f>
        <v>0.08</v>
      </c>
      <c r="C30" s="635"/>
      <c r="D30" s="538"/>
      <c r="E30" s="17" t="str">
        <f>"misura dello "&amp;F29&amp;" su "&amp;G25</f>
        <v>misura dello 0,45 su 48983,6100123986</v>
      </c>
      <c r="F30" s="103"/>
      <c r="G30" s="539">
        <f>G25*F29</f>
        <v>22042.62450557935</v>
      </c>
      <c r="I30" s="509" t="b">
        <v>0</v>
      </c>
      <c r="J30" s="21"/>
      <c r="K30" s="520" t="s">
        <v>339</v>
      </c>
      <c r="L30" s="21">
        <v>0.2</v>
      </c>
      <c r="M30" s="513"/>
      <c r="N30" s="513"/>
      <c r="O30" s="513"/>
      <c r="P30" s="513"/>
      <c r="R30" s="21"/>
    </row>
    <row r="31" spans="1:18" ht="12.75" customHeight="1">
      <c r="A31" s="223" t="s">
        <v>312</v>
      </c>
      <c r="B31" s="552">
        <f>L29</f>
        <v>0.03</v>
      </c>
      <c r="C31" s="635"/>
      <c r="D31" s="538"/>
      <c r="E31" s="546"/>
      <c r="F31" s="16"/>
      <c r="G31" s="30"/>
      <c r="I31" s="509"/>
      <c r="J31" s="21"/>
      <c r="K31" s="520" t="s">
        <v>340</v>
      </c>
      <c r="L31" s="21">
        <v>0.02</v>
      </c>
      <c r="M31" s="513"/>
      <c r="Q31" s="32"/>
      <c r="R31" s="21"/>
    </row>
    <row r="32" spans="1:18" ht="12.75" customHeight="1">
      <c r="A32" s="223" t="s">
        <v>47</v>
      </c>
      <c r="B32" s="535">
        <f>L32</f>
        <v>0.05</v>
      </c>
      <c r="C32" s="635"/>
      <c r="D32" s="538"/>
      <c r="E32" s="31"/>
      <c r="F32" s="19"/>
      <c r="G32" s="33"/>
      <c r="I32" s="509"/>
      <c r="J32" s="21"/>
      <c r="K32" s="520" t="s">
        <v>348</v>
      </c>
      <c r="L32" s="21">
        <v>0.05</v>
      </c>
      <c r="M32" s="513"/>
      <c r="Q32" s="32"/>
      <c r="R32" s="21"/>
    </row>
    <row r="33" spans="1:18" ht="12.75" customHeight="1">
      <c r="A33" s="221" t="s">
        <v>173</v>
      </c>
      <c r="B33" s="530">
        <f>SUM(B28:B32)</f>
        <v>0.3</v>
      </c>
      <c r="C33" s="635"/>
      <c r="D33" s="538"/>
      <c r="E33" s="31"/>
      <c r="F33" s="19"/>
      <c r="G33" s="33"/>
      <c r="I33" s="509"/>
      <c r="J33" s="21"/>
      <c r="L33" s="555"/>
      <c r="M33" s="513"/>
      <c r="Q33" s="32"/>
      <c r="R33" s="23"/>
    </row>
    <row r="34" spans="1:18" ht="12.75" customHeight="1">
      <c r="A34" s="268" t="str">
        <f>C24&amp;" * "&amp;B25&amp;" * "&amp;B33&amp;"   ="</f>
        <v>344595,53 * 9,74099137369945 * 0,3   =</v>
      </c>
      <c r="B34" s="556"/>
      <c r="C34" s="630">
        <f>IF(C27=0,"  ",(C24*B25*B33/100))</f>
        <v>10070.106255436169</v>
      </c>
      <c r="D34" s="538"/>
      <c r="E34" s="557" t="s">
        <v>48</v>
      </c>
      <c r="F34" s="558"/>
      <c r="G34" s="559">
        <f>G30+G25</f>
        <v>71026.23451797791</v>
      </c>
      <c r="I34" s="509"/>
      <c r="J34" s="21"/>
      <c r="L34" s="23" t="s">
        <v>347</v>
      </c>
      <c r="M34" s="513"/>
      <c r="N34" s="513"/>
      <c r="O34" s="513"/>
      <c r="Q34" s="32"/>
      <c r="R34" s="21"/>
    </row>
    <row r="35" spans="1:18" ht="12.75" customHeight="1">
      <c r="A35" s="921" t="s">
        <v>82</v>
      </c>
      <c r="B35" s="922"/>
      <c r="C35" s="923"/>
      <c r="D35" s="538"/>
      <c r="E35" s="31"/>
      <c r="F35" s="19"/>
      <c r="G35" s="33"/>
      <c r="I35" s="509"/>
      <c r="J35" s="21"/>
      <c r="K35" s="520" t="s">
        <v>332</v>
      </c>
      <c r="L35" s="21">
        <v>0.12</v>
      </c>
      <c r="M35" s="513"/>
      <c r="N35" s="615"/>
      <c r="O35" s="615"/>
      <c r="P35" s="560"/>
      <c r="Q35" s="561"/>
      <c r="R35" s="21"/>
    </row>
    <row r="36" spans="1:18" ht="12.75" customHeight="1">
      <c r="A36" s="612"/>
      <c r="B36" s="547" t="s">
        <v>259</v>
      </c>
      <c r="C36" s="610"/>
      <c r="D36" s="538"/>
      <c r="E36" s="31" t="s">
        <v>374</v>
      </c>
      <c r="F36" s="19"/>
      <c r="G36" s="562">
        <f>G34*2/100</f>
        <v>1420.5246903595582</v>
      </c>
      <c r="I36" s="509"/>
      <c r="J36" s="21"/>
      <c r="K36" s="520" t="s">
        <v>333</v>
      </c>
      <c r="L36" s="21">
        <v>0.02</v>
      </c>
      <c r="M36" s="513"/>
      <c r="N36" s="615"/>
      <c r="O36" s="616"/>
      <c r="P36" s="560"/>
      <c r="Q36" s="561"/>
      <c r="R36" s="21"/>
    </row>
    <row r="37" spans="1:18" ht="12.75" customHeight="1">
      <c r="A37" s="17" t="s">
        <v>377</v>
      </c>
      <c r="B37" s="37">
        <v>14.179730390226903</v>
      </c>
      <c r="C37" s="563"/>
      <c r="D37" s="538"/>
      <c r="E37" s="31" t="s">
        <v>376</v>
      </c>
      <c r="F37" s="19"/>
      <c r="G37" s="562">
        <f>SUM(G34:G36)</f>
        <v>72446.75920833746</v>
      </c>
      <c r="I37" s="509"/>
      <c r="J37" s="21"/>
      <c r="K37" s="520" t="s">
        <v>335</v>
      </c>
      <c r="L37" s="21">
        <v>0.28</v>
      </c>
      <c r="M37" s="513"/>
      <c r="N37" s="615"/>
      <c r="O37" s="615"/>
      <c r="P37" s="560"/>
      <c r="Q37" s="561"/>
      <c r="R37" s="21"/>
    </row>
    <row r="38" spans="1:18" ht="12.75" customHeight="1">
      <c r="A38" s="549" t="s">
        <v>49</v>
      </c>
      <c r="B38" s="550" t="s">
        <v>46</v>
      </c>
      <c r="C38" s="551">
        <v>143332.28</v>
      </c>
      <c r="D38" s="538"/>
      <c r="E38" s="31" t="s">
        <v>375</v>
      </c>
      <c r="F38" s="19"/>
      <c r="G38" s="564">
        <f>G37*20/100</f>
        <v>14489.351841667492</v>
      </c>
      <c r="I38" s="509"/>
      <c r="J38" s="21"/>
      <c r="K38" s="520" t="s">
        <v>336</v>
      </c>
      <c r="L38" s="21">
        <v>0.08</v>
      </c>
      <c r="M38" s="513"/>
      <c r="N38" s="615"/>
      <c r="O38" s="615"/>
      <c r="P38" s="560"/>
      <c r="Q38" s="561"/>
      <c r="R38" s="21"/>
    </row>
    <row r="39" spans="1:18" ht="12.75" customHeight="1">
      <c r="A39" s="223" t="s">
        <v>307</v>
      </c>
      <c r="B39" s="552">
        <f aca="true" t="shared" si="1" ref="B39:B47">L24*I39</f>
        <v>0</v>
      </c>
      <c r="C39" s="626"/>
      <c r="D39" s="538"/>
      <c r="E39" s="565" t="s">
        <v>378</v>
      </c>
      <c r="F39" s="34"/>
      <c r="G39" s="523">
        <f>SUM(G37:G38)</f>
        <v>86936.11105000495</v>
      </c>
      <c r="I39" s="509" t="b">
        <v>0</v>
      </c>
      <c r="K39" s="520" t="s">
        <v>337</v>
      </c>
      <c r="L39" s="21">
        <v>0.2</v>
      </c>
      <c r="M39" s="513"/>
      <c r="N39" s="615"/>
      <c r="O39" s="615"/>
      <c r="P39" s="560"/>
      <c r="Q39" s="561"/>
      <c r="R39" s="21"/>
    </row>
    <row r="40" spans="1:18" ht="12.75" customHeight="1">
      <c r="A40" s="223" t="s">
        <v>308</v>
      </c>
      <c r="B40" s="552">
        <f t="shared" si="1"/>
        <v>0</v>
      </c>
      <c r="C40" s="626"/>
      <c r="D40" s="508"/>
      <c r="G40" s="584"/>
      <c r="I40" s="509" t="b">
        <v>0</v>
      </c>
      <c r="J40" s="21"/>
      <c r="K40" s="520" t="s">
        <v>338</v>
      </c>
      <c r="L40" s="21">
        <v>0.03</v>
      </c>
      <c r="M40" s="513"/>
      <c r="N40" s="615"/>
      <c r="O40" s="615"/>
      <c r="P40" s="560"/>
      <c r="Q40" s="561"/>
      <c r="R40" s="21"/>
    </row>
    <row r="41" spans="1:18" ht="12.75" customHeight="1">
      <c r="A41" s="223" t="s">
        <v>309</v>
      </c>
      <c r="B41" s="552">
        <f t="shared" si="1"/>
        <v>0.28</v>
      </c>
      <c r="C41" s="626"/>
      <c r="D41" s="508"/>
      <c r="G41" s="33"/>
      <c r="I41" s="509" t="b">
        <v>1</v>
      </c>
      <c r="J41" s="21"/>
      <c r="K41" s="520" t="s">
        <v>339</v>
      </c>
      <c r="L41" s="21">
        <v>0.2</v>
      </c>
      <c r="M41" s="513"/>
      <c r="N41" s="615"/>
      <c r="O41" s="615"/>
      <c r="P41" s="560"/>
      <c r="Q41" s="561"/>
      <c r="R41" s="21"/>
    </row>
    <row r="42" spans="1:18" ht="12.75" customHeight="1">
      <c r="A42" s="223" t="s">
        <v>310</v>
      </c>
      <c r="B42" s="552">
        <f t="shared" si="1"/>
        <v>0</v>
      </c>
      <c r="C42" s="626"/>
      <c r="D42" s="508"/>
      <c r="G42" s="33"/>
      <c r="I42" s="509" t="b">
        <v>0</v>
      </c>
      <c r="J42" s="21"/>
      <c r="K42" s="520" t="s">
        <v>340</v>
      </c>
      <c r="L42" s="21">
        <v>0.02</v>
      </c>
      <c r="M42" s="23"/>
      <c r="N42" s="513"/>
      <c r="O42" s="513"/>
      <c r="Q42" s="32"/>
      <c r="R42" s="21"/>
    </row>
    <row r="43" spans="1:18" s="19" customFormat="1" ht="12.75" customHeight="1">
      <c r="A43" s="223" t="s">
        <v>311</v>
      </c>
      <c r="B43" s="552">
        <f t="shared" si="1"/>
        <v>0.2</v>
      </c>
      <c r="C43" s="627"/>
      <c r="D43" s="566"/>
      <c r="E43" s="589" t="s">
        <v>62</v>
      </c>
      <c r="F43" s="593"/>
      <c r="G43" s="567"/>
      <c r="I43" s="509" t="b">
        <v>1</v>
      </c>
      <c r="J43" s="106"/>
      <c r="K43" s="520" t="s">
        <v>348</v>
      </c>
      <c r="L43" s="21">
        <v>0.05</v>
      </c>
      <c r="M43" s="21"/>
      <c r="Q43" s="150"/>
      <c r="R43" s="23"/>
    </row>
    <row r="44" spans="1:250" s="19" customFormat="1" ht="12.75" customHeight="1">
      <c r="A44" s="223" t="s">
        <v>312</v>
      </c>
      <c r="B44" s="552">
        <f t="shared" si="1"/>
        <v>0</v>
      </c>
      <c r="C44" s="627"/>
      <c r="D44" s="28"/>
      <c r="E44" s="590" t="s">
        <v>50</v>
      </c>
      <c r="F44" s="594"/>
      <c r="G44" s="568"/>
      <c r="I44" s="509" t="b">
        <v>0</v>
      </c>
      <c r="J44" s="28"/>
      <c r="K44" s="520" t="s">
        <v>332</v>
      </c>
      <c r="L44" s="23" t="s">
        <v>358</v>
      </c>
      <c r="M44" s="21"/>
      <c r="N44" s="28"/>
      <c r="O44" s="28"/>
      <c r="P44" s="28"/>
      <c r="Q44" s="28"/>
      <c r="R44" s="21"/>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row>
    <row r="45" spans="1:250" s="19" customFormat="1" ht="12.75" customHeight="1">
      <c r="A45" s="223" t="s">
        <v>313</v>
      </c>
      <c r="B45" s="552">
        <f t="shared" si="1"/>
        <v>0.2</v>
      </c>
      <c r="C45" s="627"/>
      <c r="D45" s="28"/>
      <c r="E45" s="590" t="s">
        <v>51</v>
      </c>
      <c r="F45" s="595"/>
      <c r="G45" s="568"/>
      <c r="I45" s="509" t="b">
        <v>1</v>
      </c>
      <c r="J45" s="28"/>
      <c r="K45" s="520" t="s">
        <v>333</v>
      </c>
      <c r="L45" s="21">
        <v>0.12</v>
      </c>
      <c r="M45" s="21"/>
      <c r="N45" s="28"/>
      <c r="O45" s="28"/>
      <c r="P45" s="28"/>
      <c r="Q45" s="28"/>
      <c r="R45" s="21"/>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row>
    <row r="46" spans="1:250" s="19" customFormat="1" ht="12.75" customHeight="1">
      <c r="A46" s="223" t="s">
        <v>314</v>
      </c>
      <c r="B46" s="552">
        <f t="shared" si="1"/>
        <v>0.02</v>
      </c>
      <c r="C46" s="627"/>
      <c r="D46" s="28"/>
      <c r="E46" s="591" t="s">
        <v>52</v>
      </c>
      <c r="F46" s="596"/>
      <c r="G46" s="568"/>
      <c r="I46" s="509" t="b">
        <v>1</v>
      </c>
      <c r="J46" s="28"/>
      <c r="K46" s="520" t="s">
        <v>335</v>
      </c>
      <c r="L46" s="21">
        <v>0.03</v>
      </c>
      <c r="M46" s="21"/>
      <c r="N46" s="28"/>
      <c r="O46" s="28"/>
      <c r="P46" s="28"/>
      <c r="Q46" s="28"/>
      <c r="R46" s="21"/>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row>
    <row r="47" spans="1:250" s="19" customFormat="1" ht="12.75" customHeight="1">
      <c r="A47" s="223" t="s">
        <v>315</v>
      </c>
      <c r="B47" s="552">
        <f t="shared" si="1"/>
        <v>0</v>
      </c>
      <c r="C47" s="627"/>
      <c r="D47" s="28"/>
      <c r="E47" s="590" t="s">
        <v>53</v>
      </c>
      <c r="F47" s="596"/>
      <c r="G47" s="568"/>
      <c r="I47" s="509" t="b">
        <v>0</v>
      </c>
      <c r="J47" s="28"/>
      <c r="K47" s="520" t="s">
        <v>336</v>
      </c>
      <c r="L47" s="21">
        <v>0.22</v>
      </c>
      <c r="M47" s="21"/>
      <c r="N47" s="28"/>
      <c r="O47" s="28"/>
      <c r="P47" s="28"/>
      <c r="Q47" s="28"/>
      <c r="R47" s="21"/>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row>
    <row r="48" spans="1:250" s="19" customFormat="1" ht="12.75" customHeight="1">
      <c r="A48" s="223" t="s">
        <v>349</v>
      </c>
      <c r="B48" s="542">
        <f>I48*(IF(SUM(B39:B47)&gt;=0.8,(1-SUM(B39:B47)),(SUM(B39:B47)*0.25)))</f>
        <v>0</v>
      </c>
      <c r="C48" s="626"/>
      <c r="D48" s="28"/>
      <c r="E48" s="590"/>
      <c r="F48" s="597"/>
      <c r="G48" s="569">
        <f>SUM(G43:G47)</f>
        <v>0</v>
      </c>
      <c r="I48" s="509" t="b">
        <v>0</v>
      </c>
      <c r="J48" s="28"/>
      <c r="K48" s="520" t="s">
        <v>337</v>
      </c>
      <c r="L48" s="21">
        <v>0.1</v>
      </c>
      <c r="M48" s="21"/>
      <c r="N48" s="28"/>
      <c r="O48" s="28"/>
      <c r="P48" s="28"/>
      <c r="Q48" s="28"/>
      <c r="R48" s="21"/>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row>
    <row r="49" spans="1:18" ht="12.75" customHeight="1">
      <c r="A49" s="221" t="s">
        <v>173</v>
      </c>
      <c r="B49" s="530">
        <f>SUM(B39:B48)</f>
        <v>0.7000000000000001</v>
      </c>
      <c r="C49" s="628"/>
      <c r="D49" s="538"/>
      <c r="E49" s="591"/>
      <c r="F49" s="596"/>
      <c r="G49" s="33"/>
      <c r="I49" s="509"/>
      <c r="J49" s="21"/>
      <c r="K49" s="520" t="s">
        <v>338</v>
      </c>
      <c r="L49" s="21">
        <v>0.08</v>
      </c>
      <c r="M49" s="21"/>
      <c r="Q49" s="32"/>
      <c r="R49" s="21"/>
    </row>
    <row r="50" spans="1:18" ht="12.75" customHeight="1">
      <c r="A50" s="215" t="str">
        <f>C38&amp;" * "&amp;B37&amp;" * "&amp;B49&amp;"     ="</f>
        <v>143332,28 * 14,1797303902269 * 0,7     =</v>
      </c>
      <c r="B50" s="570"/>
      <c r="C50" s="621">
        <f>C38*B37*B49/100</f>
        <v>14226.891606315585</v>
      </c>
      <c r="D50" s="508"/>
      <c r="E50" s="591"/>
      <c r="F50" s="596"/>
      <c r="G50" s="33"/>
      <c r="I50" s="509"/>
      <c r="J50" s="21"/>
      <c r="K50" s="520" t="s">
        <v>339</v>
      </c>
      <c r="L50" s="21">
        <v>0.1</v>
      </c>
      <c r="M50" s="21"/>
      <c r="Q50" s="32"/>
      <c r="R50" s="21"/>
    </row>
    <row r="51" spans="1:18" ht="12.75" customHeight="1">
      <c r="A51" s="17"/>
      <c r="B51" s="19"/>
      <c r="C51" s="33"/>
      <c r="D51" s="508"/>
      <c r="E51" s="591" t="s">
        <v>54</v>
      </c>
      <c r="F51" s="596"/>
      <c r="G51" s="33"/>
      <c r="I51" s="509"/>
      <c r="J51" s="21"/>
      <c r="K51" s="520" t="s">
        <v>340</v>
      </c>
      <c r="L51" s="21">
        <v>0.15</v>
      </c>
      <c r="M51" s="21"/>
      <c r="Q51" s="32"/>
      <c r="R51" s="21"/>
    </row>
    <row r="52" spans="1:18" ht="12.75" customHeight="1">
      <c r="A52" s="517" t="s">
        <v>55</v>
      </c>
      <c r="B52" s="518"/>
      <c r="C52" s="519" t="s">
        <v>171</v>
      </c>
      <c r="D52" s="508"/>
      <c r="E52" s="591" t="s">
        <v>56</v>
      </c>
      <c r="F52" s="596"/>
      <c r="G52" s="33"/>
      <c r="I52" s="509"/>
      <c r="J52" s="21"/>
      <c r="K52" s="520" t="s">
        <v>348</v>
      </c>
      <c r="L52" s="21">
        <v>0.15</v>
      </c>
      <c r="M52" s="21"/>
      <c r="Q52" s="32"/>
      <c r="R52" s="21"/>
    </row>
    <row r="53" spans="1:18" ht="12.75" customHeight="1">
      <c r="A53" s="521" t="s">
        <v>306</v>
      </c>
      <c r="B53" s="524" t="s">
        <v>264</v>
      </c>
      <c r="C53" s="525">
        <v>3500</v>
      </c>
      <c r="D53" s="508"/>
      <c r="E53" s="591" t="s">
        <v>57</v>
      </c>
      <c r="F53" s="596"/>
      <c r="G53" s="33"/>
      <c r="I53" s="509"/>
      <c r="J53" s="21"/>
      <c r="L53" s="21">
        <v>0.05</v>
      </c>
      <c r="Q53" s="32"/>
      <c r="R53" s="23"/>
    </row>
    <row r="54" spans="1:18" ht="12.75" customHeight="1">
      <c r="A54" s="17" t="s">
        <v>377</v>
      </c>
      <c r="B54" s="528">
        <v>29.2721345046</v>
      </c>
      <c r="C54" s="633"/>
      <c r="D54" s="508"/>
      <c r="E54" s="591"/>
      <c r="F54" s="596"/>
      <c r="G54" s="571">
        <f>SUM(G51:G53)</f>
        <v>0</v>
      </c>
      <c r="I54" s="509"/>
      <c r="L54" s="109"/>
      <c r="Q54" s="32"/>
      <c r="R54" s="21"/>
    </row>
    <row r="55" spans="1:18" ht="12.75" customHeight="1">
      <c r="A55" s="223" t="s">
        <v>307</v>
      </c>
      <c r="B55" s="552">
        <f>L45*I55</f>
        <v>0.12</v>
      </c>
      <c r="C55" s="626"/>
      <c r="D55" s="508"/>
      <c r="E55" s="591"/>
      <c r="F55" s="596"/>
      <c r="G55" s="33"/>
      <c r="I55" s="509" t="b">
        <v>1</v>
      </c>
      <c r="J55" s="21"/>
      <c r="L55" s="23" t="s">
        <v>356</v>
      </c>
      <c r="O55" s="21"/>
      <c r="Q55" s="32"/>
      <c r="R55" s="21"/>
    </row>
    <row r="56" spans="1:18" ht="12.75" customHeight="1">
      <c r="A56" s="223" t="s">
        <v>308</v>
      </c>
      <c r="B56" s="552">
        <f>L46*I56</f>
        <v>0.03</v>
      </c>
      <c r="C56" s="626"/>
      <c r="D56" s="508"/>
      <c r="E56" s="590" t="s">
        <v>58</v>
      </c>
      <c r="F56" s="596"/>
      <c r="G56" s="568"/>
      <c r="I56" s="509" t="b">
        <v>1</v>
      </c>
      <c r="J56" s="572"/>
      <c r="K56" s="520" t="s">
        <v>332</v>
      </c>
      <c r="L56" s="21">
        <v>0.12</v>
      </c>
      <c r="O56" s="21"/>
      <c r="R56" s="21"/>
    </row>
    <row r="57" spans="1:18" ht="12.75" customHeight="1">
      <c r="A57" s="223" t="s">
        <v>309</v>
      </c>
      <c r="B57" s="552">
        <f>L47*I57</f>
        <v>0.22</v>
      </c>
      <c r="C57" s="626"/>
      <c r="D57" s="508"/>
      <c r="E57" s="590" t="s">
        <v>59</v>
      </c>
      <c r="F57" s="597"/>
      <c r="G57" s="573"/>
      <c r="I57" s="509" t="b">
        <v>1</v>
      </c>
      <c r="J57" s="21"/>
      <c r="K57" s="520" t="s">
        <v>333</v>
      </c>
      <c r="L57" s="21">
        <v>0.03</v>
      </c>
      <c r="O57" s="21"/>
      <c r="R57" s="21"/>
    </row>
    <row r="58" spans="1:18" ht="12.75" customHeight="1">
      <c r="A58" s="223" t="s">
        <v>311</v>
      </c>
      <c r="B58" s="552">
        <f>L49*I58</f>
        <v>0.08</v>
      </c>
      <c r="C58" s="626"/>
      <c r="D58" s="508"/>
      <c r="E58" s="590" t="s">
        <v>60</v>
      </c>
      <c r="F58" s="596"/>
      <c r="G58" s="568"/>
      <c r="I58" s="509" t="b">
        <v>1</v>
      </c>
      <c r="J58" s="21"/>
      <c r="K58" s="520" t="s">
        <v>335</v>
      </c>
      <c r="L58" s="21">
        <v>0.22</v>
      </c>
      <c r="O58" s="21"/>
      <c r="Q58" s="32"/>
      <c r="R58" s="21"/>
    </row>
    <row r="59" spans="1:18" ht="12.75" customHeight="1" thickBot="1">
      <c r="A59" s="223" t="s">
        <v>349</v>
      </c>
      <c r="B59" s="535">
        <f>SUM(B55:B58)*0.25*I59</f>
        <v>0.1125</v>
      </c>
      <c r="C59" s="626"/>
      <c r="D59" s="508"/>
      <c r="E59" s="590" t="s">
        <v>61</v>
      </c>
      <c r="F59" s="595"/>
      <c r="G59" s="617"/>
      <c r="I59" s="509" t="b">
        <v>1</v>
      </c>
      <c r="J59" s="21"/>
      <c r="K59" s="520" t="s">
        <v>336</v>
      </c>
      <c r="L59" s="21">
        <v>0.1</v>
      </c>
      <c r="O59" s="21"/>
      <c r="Q59" s="32"/>
      <c r="R59" s="21"/>
    </row>
    <row r="60" spans="1:18" ht="12.75" customHeight="1" thickTop="1">
      <c r="A60" s="221" t="s">
        <v>173</v>
      </c>
      <c r="B60" s="530">
        <f>SUM(B55:B59)</f>
        <v>0.5625</v>
      </c>
      <c r="C60" s="629"/>
      <c r="D60" s="508"/>
      <c r="E60" s="590" t="s">
        <v>48</v>
      </c>
      <c r="F60" s="595"/>
      <c r="G60" s="571">
        <f>SUM(G56:G59)</f>
        <v>0</v>
      </c>
      <c r="I60" s="509"/>
      <c r="J60" s="21"/>
      <c r="K60" s="520" t="s">
        <v>337</v>
      </c>
      <c r="L60" s="21">
        <v>0.08</v>
      </c>
      <c r="O60" s="21"/>
      <c r="Q60" s="32"/>
      <c r="R60" s="21"/>
    </row>
    <row r="61" spans="1:18" ht="12.75" customHeight="1">
      <c r="A61" s="268" t="str">
        <f>C53&amp;" * "&amp;B54&amp;" * "&amp;B60&amp;"     ="</f>
        <v>3500 * 29,2721345046 * 0,5625     =</v>
      </c>
      <c r="B61" s="556"/>
      <c r="C61" s="630">
        <f>C53*B54*B60/100</f>
        <v>576.2951480593125</v>
      </c>
      <c r="D61" s="667"/>
      <c r="E61" s="592"/>
      <c r="F61" s="598"/>
      <c r="G61" s="38"/>
      <c r="I61" s="509"/>
      <c r="J61" s="21"/>
      <c r="K61" s="520" t="s">
        <v>338</v>
      </c>
      <c r="L61" s="21">
        <v>0.1</v>
      </c>
      <c r="O61" s="21"/>
      <c r="Q61" s="32"/>
      <c r="R61" s="21"/>
    </row>
    <row r="62" spans="1:18" ht="12.75" customHeight="1">
      <c r="A62" s="19"/>
      <c r="B62" s="19"/>
      <c r="C62" s="16"/>
      <c r="D62" s="16"/>
      <c r="E62" s="19"/>
      <c r="F62" s="19"/>
      <c r="G62" s="19"/>
      <c r="H62" s="19"/>
      <c r="I62" s="19"/>
      <c r="J62" s="19"/>
      <c r="K62" s="520" t="s">
        <v>339</v>
      </c>
      <c r="L62" s="21">
        <v>0.15</v>
      </c>
      <c r="M62" s="19"/>
      <c r="N62" s="19"/>
      <c r="O62" s="19"/>
      <c r="P62" s="19"/>
      <c r="R62" s="21"/>
    </row>
    <row r="63" spans="1:12" ht="12.75" customHeight="1">
      <c r="A63" s="28"/>
      <c r="B63" s="574"/>
      <c r="C63" s="2"/>
      <c r="D63" s="7"/>
      <c r="K63" s="520" t="s">
        <v>340</v>
      </c>
      <c r="L63" s="21">
        <v>0.15</v>
      </c>
    </row>
    <row r="64" spans="1:12" ht="12.75" customHeight="1">
      <c r="A64" s="28"/>
      <c r="B64" s="574"/>
      <c r="C64" s="2"/>
      <c r="D64" s="2"/>
      <c r="K64" s="520" t="s">
        <v>348</v>
      </c>
      <c r="L64" s="21">
        <v>0.05</v>
      </c>
    </row>
    <row r="65" spans="1:12" ht="12.75" customHeight="1">
      <c r="A65" s="1"/>
      <c r="C65" s="2"/>
      <c r="D65" s="2"/>
      <c r="L65" s="513"/>
    </row>
    <row r="66" spans="1:12" ht="12.75" customHeight="1">
      <c r="A66" s="1"/>
      <c r="C66" s="2"/>
      <c r="D66" s="2"/>
      <c r="L66" s="513"/>
    </row>
    <row r="67" spans="1:4" ht="12.75" customHeight="1">
      <c r="A67" s="1"/>
      <c r="C67" s="2"/>
      <c r="D67" s="8"/>
    </row>
    <row r="68" spans="1:4" ht="12.75" customHeight="1">
      <c r="A68" s="1"/>
      <c r="C68" s="2"/>
      <c r="D68" s="2"/>
    </row>
    <row r="69" spans="1:4" ht="12.75" customHeight="1">
      <c r="A69" s="1"/>
      <c r="B69" s="9"/>
      <c r="C69" s="2"/>
      <c r="D69" s="2"/>
    </row>
    <row r="70" spans="1:4" ht="12.75" customHeight="1">
      <c r="A70" s="4"/>
      <c r="B70" s="9"/>
      <c r="C70" s="2"/>
      <c r="D70" s="2"/>
    </row>
    <row r="71" spans="1:4" ht="12.75" customHeight="1">
      <c r="A71" s="1"/>
      <c r="C71" s="11"/>
      <c r="D71" s="2"/>
    </row>
    <row r="72" spans="1:4" ht="12.75" customHeight="1">
      <c r="A72" s="1"/>
      <c r="B72" s="2"/>
      <c r="C72" s="2"/>
      <c r="D72" s="2"/>
    </row>
    <row r="73" spans="1:4" ht="12.75" customHeight="1">
      <c r="A73" s="1"/>
      <c r="B73" s="2"/>
      <c r="C73" s="3"/>
      <c r="D73" s="7"/>
    </row>
    <row r="74" spans="1:4" ht="12.75" customHeight="1">
      <c r="A74" s="4"/>
      <c r="B74" s="13"/>
      <c r="C74" s="8"/>
      <c r="D74" s="7"/>
    </row>
    <row r="75" spans="1:4" ht="12.75" customHeight="1">
      <c r="A75" s="4"/>
      <c r="B75" s="13"/>
      <c r="C75" s="8"/>
      <c r="D75" s="2"/>
    </row>
    <row r="76" spans="1:4" ht="12.75" customHeight="1">
      <c r="A76" s="4"/>
      <c r="B76" s="13"/>
      <c r="C76" s="8"/>
      <c r="D76" s="2"/>
    </row>
    <row r="77" spans="1:4" ht="12.75" customHeight="1">
      <c r="A77" s="1"/>
      <c r="B77" s="2"/>
      <c r="C77" s="2"/>
      <c r="D77" s="2"/>
    </row>
    <row r="78" spans="1:4" ht="12.75" customHeight="1">
      <c r="A78" s="1"/>
      <c r="B78" s="2"/>
      <c r="C78" s="2"/>
      <c r="D78" s="2"/>
    </row>
    <row r="79" spans="1:4" ht="12.75" customHeight="1">
      <c r="A79" s="1"/>
      <c r="B79" s="2"/>
      <c r="C79" s="2"/>
      <c r="D79" s="2"/>
    </row>
    <row r="80" spans="1:4" ht="12.75" customHeight="1">
      <c r="A80" s="1"/>
      <c r="B80" s="2"/>
      <c r="C80" s="2"/>
      <c r="D80" s="10"/>
    </row>
    <row r="81" spans="1:4" ht="12.75" customHeight="1">
      <c r="A81" s="1"/>
      <c r="B81" s="2"/>
      <c r="C81" s="2"/>
      <c r="D81" s="2"/>
    </row>
    <row r="82" spans="1:4" ht="12.75" customHeight="1">
      <c r="A82" s="1"/>
      <c r="B82" s="2"/>
      <c r="C82" s="2"/>
      <c r="D82" s="2"/>
    </row>
    <row r="83" spans="1:4" ht="12.75" customHeight="1">
      <c r="A83" s="1"/>
      <c r="B83" s="2"/>
      <c r="C83" s="2"/>
      <c r="D83" s="2"/>
    </row>
    <row r="84" spans="1:4" ht="12.75" customHeight="1">
      <c r="A84" s="1"/>
      <c r="B84" s="2"/>
      <c r="C84" s="5"/>
      <c r="D84" s="2"/>
    </row>
    <row r="85" spans="1:4" ht="12.75" customHeight="1">
      <c r="A85" s="4"/>
      <c r="B85" s="14"/>
      <c r="C85" s="2"/>
      <c r="D85" s="2"/>
    </row>
    <row r="86" spans="1:4" ht="12.75" customHeight="1">
      <c r="A86" s="1"/>
      <c r="B86" s="2"/>
      <c r="C86" s="3"/>
      <c r="D86" s="2"/>
    </row>
    <row r="87" spans="1:4" ht="12.75" customHeight="1">
      <c r="A87" s="4"/>
      <c r="B87" s="2"/>
      <c r="C87" s="3"/>
      <c r="D87" s="2"/>
    </row>
    <row r="88" spans="1:4" ht="12.75" customHeight="1">
      <c r="A88" s="1"/>
      <c r="B88" s="2"/>
      <c r="C88" s="2"/>
      <c r="D88" s="2"/>
    </row>
    <row r="89" spans="1:4" ht="12.75" customHeight="1">
      <c r="A89" s="1"/>
      <c r="B89" s="7"/>
      <c r="C89" s="3"/>
      <c r="D89" s="2"/>
    </row>
    <row r="90" spans="1:4" ht="12.75" customHeight="1">
      <c r="A90" s="1"/>
      <c r="B90" s="7"/>
      <c r="C90" s="3"/>
      <c r="D90" s="2"/>
    </row>
    <row r="91" spans="1:4" ht="12.75" customHeight="1">
      <c r="A91" s="1"/>
      <c r="B91" s="7"/>
      <c r="C91" s="2"/>
      <c r="D91" s="2"/>
    </row>
    <row r="92" spans="1:4" ht="12.75" customHeight="1">
      <c r="A92" s="1"/>
      <c r="B92" s="7"/>
      <c r="C92" s="3"/>
      <c r="D92" s="2"/>
    </row>
    <row r="93" spans="1:4" ht="9.75">
      <c r="A93" s="1"/>
      <c r="B93" s="7"/>
      <c r="C93" s="3"/>
      <c r="D93" s="2"/>
    </row>
    <row r="94" spans="1:4" ht="9.75">
      <c r="A94" s="4"/>
      <c r="B94" s="2"/>
      <c r="C94" s="2"/>
      <c r="D94" s="2"/>
    </row>
    <row r="95" spans="1:4" ht="9.75">
      <c r="A95" s="1"/>
      <c r="B95" s="3"/>
      <c r="C95" s="3"/>
      <c r="D95" s="5"/>
    </row>
    <row r="96" spans="1:4" ht="9.75">
      <c r="A96" s="4"/>
      <c r="B96" s="2"/>
      <c r="C96" s="2"/>
      <c r="D96" s="5"/>
    </row>
    <row r="97" spans="1:4" ht="9.75">
      <c r="A97" s="4"/>
      <c r="B97" s="2"/>
      <c r="C97" s="2"/>
      <c r="D97" s="5"/>
    </row>
    <row r="98" spans="1:4" ht="9.75">
      <c r="A98" s="1"/>
      <c r="B98" s="2"/>
      <c r="C98" s="2"/>
      <c r="D98" s="10"/>
    </row>
    <row r="99" spans="1:4" ht="9.75">
      <c r="A99" s="1"/>
      <c r="B99" s="7"/>
      <c r="C99" s="2"/>
      <c r="D99" s="2"/>
    </row>
    <row r="100" spans="1:4" ht="9.75">
      <c r="A100" s="1"/>
      <c r="B100" s="2"/>
      <c r="C100" s="3"/>
      <c r="D100" s="2"/>
    </row>
    <row r="101" spans="1:4" ht="9.75">
      <c r="A101" s="4"/>
      <c r="B101" s="2"/>
      <c r="C101" s="2"/>
      <c r="D101" s="2"/>
    </row>
    <row r="102" spans="1:4" ht="9.75">
      <c r="A102" s="1"/>
      <c r="B102" s="2"/>
      <c r="C102" s="2"/>
      <c r="D102" s="2"/>
    </row>
    <row r="103" spans="1:4" ht="9.75">
      <c r="A103" s="1"/>
      <c r="B103" s="7"/>
      <c r="C103" s="2"/>
      <c r="D103" s="2"/>
    </row>
    <row r="104" spans="1:4" ht="9.75">
      <c r="A104" s="1"/>
      <c r="B104" s="7"/>
      <c r="C104" s="2"/>
      <c r="D104" s="2"/>
    </row>
    <row r="105" spans="1:4" ht="9.75">
      <c r="A105" s="1"/>
      <c r="B105" s="2"/>
      <c r="C105" s="3"/>
      <c r="D105" s="2"/>
    </row>
    <row r="106" spans="1:4" ht="9.75">
      <c r="A106" s="4"/>
      <c r="B106" s="2"/>
      <c r="C106" s="2"/>
      <c r="D106" s="2"/>
    </row>
    <row r="107" spans="1:4" ht="9.75">
      <c r="A107" s="1"/>
      <c r="B107" s="2"/>
      <c r="C107" s="2"/>
      <c r="D107" s="2"/>
    </row>
    <row r="108" spans="1:4" ht="9.75">
      <c r="A108" s="1"/>
      <c r="B108" s="2"/>
      <c r="C108" s="2"/>
      <c r="D108" s="2"/>
    </row>
    <row r="109" spans="1:4" ht="9.75">
      <c r="A109" s="1"/>
      <c r="C109" s="3"/>
      <c r="D109" s="2"/>
    </row>
    <row r="110" spans="1:4" ht="9.75">
      <c r="A110" s="1"/>
      <c r="B110" s="2"/>
      <c r="C110" s="3"/>
      <c r="D110" s="2"/>
    </row>
    <row r="111" spans="1:4" ht="9.75">
      <c r="A111" s="1"/>
      <c r="C111" s="3"/>
      <c r="D111" s="2"/>
    </row>
    <row r="112" spans="1:4" ht="9.75">
      <c r="A112" s="4"/>
      <c r="C112" s="3"/>
      <c r="D112" s="2"/>
    </row>
    <row r="113" spans="1:4" ht="9.75">
      <c r="A113" s="4"/>
      <c r="C113" s="3"/>
      <c r="D113" s="2"/>
    </row>
    <row r="114" spans="1:4" ht="9.75">
      <c r="A114" s="1"/>
      <c r="B114" s="13"/>
      <c r="C114" s="8"/>
      <c r="D114" s="2"/>
    </row>
    <row r="115" spans="1:4" ht="9.75">
      <c r="A115" s="1"/>
      <c r="B115" s="13"/>
      <c r="C115" s="3"/>
      <c r="D115" s="2"/>
    </row>
    <row r="116" spans="1:4" ht="9.75">
      <c r="A116" s="4"/>
      <c r="C116" s="3"/>
      <c r="D116" s="2"/>
    </row>
    <row r="117" spans="1:4" ht="9.75">
      <c r="A117" s="1"/>
      <c r="C117" s="3"/>
      <c r="D117" s="2"/>
    </row>
    <row r="118" spans="1:3" ht="9.75">
      <c r="A118" s="1"/>
      <c r="C118" s="3"/>
    </row>
    <row r="119" spans="1:4" ht="9.75">
      <c r="A119" s="4"/>
      <c r="C119" s="3"/>
      <c r="D119" s="15"/>
    </row>
    <row r="120" spans="1:4" ht="9.75">
      <c r="A120" s="1"/>
      <c r="C120" s="3"/>
      <c r="D120" s="7"/>
    </row>
    <row r="121" spans="1:4" ht="9.75">
      <c r="A121" s="4"/>
      <c r="B121" s="2"/>
      <c r="C121" s="2"/>
      <c r="D121" s="7"/>
    </row>
    <row r="122" spans="1:4" ht="9.75">
      <c r="A122" s="1"/>
      <c r="B122" s="2"/>
      <c r="C122" s="2"/>
      <c r="D122" s="15"/>
    </row>
    <row r="123" spans="1:4" ht="9.75">
      <c r="A123" s="1"/>
      <c r="B123" s="2"/>
      <c r="C123" s="2"/>
      <c r="D123" s="2"/>
    </row>
    <row r="124" spans="1:4" ht="9.75">
      <c r="A124" s="1"/>
      <c r="B124" s="7"/>
      <c r="C124" s="7"/>
      <c r="D124" s="2"/>
    </row>
    <row r="125" spans="1:4" ht="9.75">
      <c r="A125" s="1"/>
      <c r="B125" s="2"/>
      <c r="C125" s="3"/>
      <c r="D125" s="2"/>
    </row>
    <row r="126" spans="1:4" ht="9.75">
      <c r="A126" s="4"/>
      <c r="B126" s="2"/>
      <c r="C126" s="2"/>
      <c r="D126" s="2"/>
    </row>
    <row r="127" spans="1:4" ht="9.75">
      <c r="A127" s="4"/>
      <c r="D127" s="10"/>
    </row>
    <row r="128" spans="1:4" ht="9.75">
      <c r="A128" s="1"/>
      <c r="C128" s="3"/>
      <c r="D128" s="2"/>
    </row>
    <row r="129" spans="1:4" ht="9.75">
      <c r="A129" s="4"/>
      <c r="D129" s="2"/>
    </row>
    <row r="130" spans="1:4" ht="9.75">
      <c r="A130" s="4"/>
      <c r="D130" s="2"/>
    </row>
    <row r="131" spans="1:4" ht="9.75">
      <c r="A131" s="4"/>
      <c r="D131" s="10"/>
    </row>
    <row r="132" spans="1:4" ht="9.75">
      <c r="A132" s="4"/>
      <c r="D132" s="2"/>
    </row>
    <row r="133" spans="1:4" ht="9.75">
      <c r="A133" s="1"/>
      <c r="B133" s="5"/>
      <c r="C133" s="3"/>
      <c r="D133" s="2"/>
    </row>
    <row r="134" spans="1:4" ht="9.75">
      <c r="A134" s="4"/>
      <c r="B134" s="2"/>
      <c r="C134" s="2"/>
      <c r="D134" s="2"/>
    </row>
    <row r="135" spans="1:4" ht="9.75">
      <c r="A135" s="1"/>
      <c r="B135" s="2"/>
      <c r="C135" s="2"/>
      <c r="D135" s="2"/>
    </row>
    <row r="136" spans="1:4" ht="9.75">
      <c r="A136" s="1"/>
      <c r="B136" s="2"/>
      <c r="C136" s="2"/>
      <c r="D136" s="12"/>
    </row>
    <row r="137" spans="1:4" ht="9.75">
      <c r="A137" s="1"/>
      <c r="B137" s="5"/>
      <c r="C137" s="5"/>
      <c r="D137" s="2"/>
    </row>
    <row r="138" spans="1:4" ht="9.75">
      <c r="A138" s="1"/>
      <c r="B138" s="2"/>
      <c r="C138" s="3"/>
      <c r="D138" s="2"/>
    </row>
    <row r="139" ht="9.75">
      <c r="D139" s="2"/>
    </row>
    <row r="140" ht="9.75">
      <c r="D140" s="2"/>
    </row>
    <row r="141" ht="9.75">
      <c r="D141" s="2"/>
    </row>
    <row r="142" ht="9.75">
      <c r="D142" s="2"/>
    </row>
    <row r="143" spans="1:4" ht="9.75">
      <c r="A143" s="1"/>
      <c r="B143" s="2"/>
      <c r="C143" s="2"/>
      <c r="D143" s="2"/>
    </row>
    <row r="144" spans="1:4" ht="9.75">
      <c r="A144" s="1"/>
      <c r="B144" s="2"/>
      <c r="C144" s="2"/>
      <c r="D144" s="8"/>
    </row>
    <row r="145" spans="1:4" ht="9.75">
      <c r="A145" s="1"/>
      <c r="B145" s="2"/>
      <c r="C145" s="3"/>
      <c r="D145" s="2"/>
    </row>
    <row r="146" spans="1:4" ht="9.75">
      <c r="A146" s="1"/>
      <c r="B146" s="2"/>
      <c r="C146" s="3"/>
      <c r="D146" s="2"/>
    </row>
    <row r="147" spans="1:4" ht="9.75">
      <c r="A147" s="1"/>
      <c r="D147" s="8"/>
    </row>
    <row r="148" spans="1:4" ht="9.75">
      <c r="A148" s="4"/>
      <c r="D148" s="2"/>
    </row>
    <row r="149" spans="1:4" ht="9.75">
      <c r="A149" s="1"/>
      <c r="B149" s="2"/>
      <c r="C149" s="2"/>
      <c r="D149" s="2"/>
    </row>
    <row r="150" spans="1:4" ht="9.75">
      <c r="A150" s="1"/>
      <c r="C150" s="2"/>
      <c r="D150" s="2"/>
    </row>
    <row r="151" spans="1:4" ht="9.75">
      <c r="A151" s="1"/>
      <c r="C151" s="2"/>
      <c r="D151" s="2"/>
    </row>
    <row r="152" spans="1:4" ht="9.75">
      <c r="A152" s="1"/>
      <c r="C152" s="2"/>
      <c r="D152" s="2"/>
    </row>
    <row r="153" spans="1:4" ht="9.75">
      <c r="A153" s="1"/>
      <c r="C153" s="2"/>
      <c r="D153" s="7"/>
    </row>
    <row r="154" spans="1:4" ht="9.75">
      <c r="A154" s="1"/>
      <c r="C154" s="2"/>
      <c r="D154" s="7"/>
    </row>
    <row r="155" spans="1:4" ht="9.75">
      <c r="A155" s="1"/>
      <c r="C155" s="2"/>
      <c r="D155" s="2"/>
    </row>
    <row r="156" spans="1:4" ht="9.75">
      <c r="A156" s="1"/>
      <c r="C156" s="2"/>
      <c r="D156" s="2"/>
    </row>
    <row r="157" spans="1:4" ht="9.75">
      <c r="A157" s="1"/>
      <c r="C157" s="2"/>
      <c r="D157" s="2"/>
    </row>
    <row r="158" spans="1:4" ht="9.75">
      <c r="A158" s="1"/>
      <c r="C158" s="2"/>
      <c r="D158" s="2"/>
    </row>
    <row r="159" spans="1:4" ht="9.75">
      <c r="A159" s="1"/>
      <c r="B159" s="9"/>
      <c r="C159" s="2"/>
      <c r="D159" s="2"/>
    </row>
    <row r="160" spans="1:4" ht="9.75">
      <c r="A160" s="4"/>
      <c r="B160" s="9"/>
      <c r="C160" s="2"/>
      <c r="D160" s="2"/>
    </row>
    <row r="161" spans="1:4" ht="9.75">
      <c r="A161" s="1"/>
      <c r="C161" s="11"/>
      <c r="D161" s="2"/>
    </row>
    <row r="162" spans="1:4" ht="9.75">
      <c r="A162" s="1"/>
      <c r="B162" s="2"/>
      <c r="C162" s="2"/>
      <c r="D162" s="2"/>
    </row>
    <row r="163" spans="1:4" ht="9.75">
      <c r="A163" s="1"/>
      <c r="B163" s="2"/>
      <c r="C163" s="3"/>
      <c r="D163" s="2"/>
    </row>
    <row r="164" spans="1:4" ht="9.75">
      <c r="A164" s="4"/>
      <c r="B164" s="13"/>
      <c r="C164" s="8"/>
      <c r="D164" s="2"/>
    </row>
    <row r="165" spans="1:4" ht="9.75">
      <c r="A165" s="1"/>
      <c r="B165" s="13"/>
      <c r="C165" s="8"/>
      <c r="D165" s="2"/>
    </row>
    <row r="166" spans="1:4" ht="9.75">
      <c r="A166" s="1"/>
      <c r="B166" s="13"/>
      <c r="C166" s="3"/>
      <c r="D166" s="2"/>
    </row>
    <row r="167" spans="1:4" ht="9.75">
      <c r="A167" s="4"/>
      <c r="B167" s="13"/>
      <c r="C167" s="8"/>
      <c r="D167" s="2"/>
    </row>
    <row r="168" spans="1:3" ht="9.75">
      <c r="A168" s="4"/>
      <c r="B168" s="13"/>
      <c r="C168" s="8"/>
    </row>
    <row r="169" spans="1:3" ht="9.75">
      <c r="A169" s="1"/>
      <c r="B169" s="13"/>
      <c r="C169" s="8"/>
    </row>
    <row r="170" spans="1:3" ht="9.75">
      <c r="A170" s="1"/>
      <c r="B170" s="13"/>
      <c r="C170" s="3"/>
    </row>
    <row r="171" spans="1:3" ht="9.75">
      <c r="A171" s="4"/>
      <c r="B171" s="13"/>
      <c r="C171" s="8"/>
    </row>
    <row r="172" spans="1:3" ht="9.75">
      <c r="A172" s="1"/>
      <c r="C172" s="3"/>
    </row>
    <row r="173" spans="1:3" ht="9.75">
      <c r="A173" s="4"/>
      <c r="B173" s="2"/>
      <c r="C173" s="2"/>
    </row>
    <row r="174" spans="1:3" ht="9.75">
      <c r="A174" s="1"/>
      <c r="B174" s="2"/>
      <c r="C174" s="2"/>
    </row>
    <row r="175" spans="1:3" ht="9.75">
      <c r="A175" s="1"/>
      <c r="B175" s="2"/>
      <c r="C175" s="2"/>
    </row>
    <row r="176" spans="1:3" ht="9.75">
      <c r="A176" s="1"/>
      <c r="B176" s="7"/>
      <c r="C176" s="7"/>
    </row>
    <row r="177" spans="1:3" ht="9.75">
      <c r="A177" s="1"/>
      <c r="B177" s="3"/>
      <c r="C177" s="3"/>
    </row>
    <row r="178" spans="1:3" ht="9.75">
      <c r="A178" s="4"/>
      <c r="B178" s="13"/>
      <c r="C178" s="8"/>
    </row>
  </sheetData>
  <sheetProtection password="811F" sheet="1"/>
  <mergeCells count="4">
    <mergeCell ref="A35:C35"/>
    <mergeCell ref="A1:G1"/>
    <mergeCell ref="A22:C23"/>
    <mergeCell ref="E17:G18"/>
  </mergeCells>
  <printOptions/>
  <pageMargins left="0.68" right="0.26" top="0.72" bottom="0.56" header="0.31" footer="0.56"/>
  <pageSetup horizontalDpi="180" verticalDpi="180" orientation="portrait" pageOrder="overThenDown" paperSize="9" scale="90"/>
  <headerFooter alignWithMargins="0">
    <oddHeader>&amp;R
</oddHeader>
  </headerFooter>
  <drawing r:id="rId1"/>
</worksheet>
</file>

<file path=xl/worksheets/sheet7.xml><?xml version="1.0" encoding="utf-8"?>
<worksheet xmlns="http://schemas.openxmlformats.org/spreadsheetml/2006/main" xmlns:r="http://schemas.openxmlformats.org/officeDocument/2006/relationships">
  <sheetPr codeName="Foglio111"/>
  <dimension ref="A1:AX169"/>
  <sheetViews>
    <sheetView zoomScaleSheetLayoutView="100" zoomScalePageLayoutView="0" workbookViewId="0" topLeftCell="A1">
      <selection activeCell="D7" sqref="D7"/>
    </sheetView>
  </sheetViews>
  <sheetFormatPr defaultColWidth="9.140625" defaultRowHeight="12.75"/>
  <cols>
    <col min="1" max="1" width="42.421875" style="96" customWidth="1"/>
    <col min="2" max="2" width="7.421875" style="40" customWidth="1"/>
    <col min="3" max="3" width="13.421875" style="40" customWidth="1"/>
    <col min="4" max="4" width="14.421875" style="40" customWidth="1"/>
    <col min="5" max="5" width="22.8515625" style="40" customWidth="1"/>
    <col min="6" max="6" width="7.421875" style="40" customWidth="1"/>
    <col min="7" max="7" width="8.7109375" style="40" customWidth="1"/>
    <col min="8" max="8" width="8.140625" style="40" customWidth="1"/>
    <col min="9" max="9" width="6.7109375" style="40" customWidth="1"/>
    <col min="10" max="10" width="6.7109375" style="40" hidden="1" customWidth="1"/>
    <col min="11" max="11" width="14.00390625" style="40" hidden="1" customWidth="1"/>
    <col min="12" max="48" width="9.140625" style="40" customWidth="1"/>
    <col min="49" max="49" width="9.00390625" style="40" customWidth="1"/>
    <col min="50" max="50" width="9.140625" style="40" hidden="1" customWidth="1"/>
    <col min="51" max="16384" width="9.140625" style="40" customWidth="1"/>
  </cols>
  <sheetData>
    <row r="1" spans="1:5" ht="54.75" customHeight="1" thickBot="1">
      <c r="A1" s="936" t="s">
        <v>80</v>
      </c>
      <c r="B1" s="937"/>
      <c r="C1" s="937"/>
      <c r="D1" s="937"/>
      <c r="E1" s="938"/>
    </row>
    <row r="2" spans="1:50" ht="138" customHeight="1">
      <c r="A2" s="97"/>
      <c r="B2" s="98"/>
      <c r="C2" s="98"/>
      <c r="D2" s="99"/>
      <c r="E2" s="98"/>
      <c r="K2" s="108" t="s">
        <v>384</v>
      </c>
      <c r="AX2" s="108" t="s">
        <v>384</v>
      </c>
    </row>
    <row r="3" spans="1:50" ht="6.75" customHeight="1">
      <c r="A3" s="41"/>
      <c r="B3" s="42"/>
      <c r="C3" s="42"/>
      <c r="D3" s="43"/>
      <c r="E3" s="42"/>
      <c r="G3" s="44"/>
      <c r="J3" s="127" t="s">
        <v>283</v>
      </c>
      <c r="K3" s="40" t="s">
        <v>194</v>
      </c>
      <c r="AX3" s="40" t="s">
        <v>194</v>
      </c>
    </row>
    <row r="4" spans="1:50" ht="15" customHeight="1">
      <c r="A4" s="78" t="s">
        <v>385</v>
      </c>
      <c r="B4" s="46"/>
      <c r="C4" s="47"/>
      <c r="D4" s="48"/>
      <c r="E4" s="46"/>
      <c r="H4" s="21"/>
      <c r="J4" s="21">
        <v>0</v>
      </c>
      <c r="K4" s="40" t="s">
        <v>198</v>
      </c>
      <c r="L4" s="21"/>
      <c r="M4" s="21"/>
      <c r="AX4" s="40" t="s">
        <v>198</v>
      </c>
    </row>
    <row r="5" spans="1:50" ht="15" customHeight="1">
      <c r="A5" s="41"/>
      <c r="B5" s="49"/>
      <c r="C5" s="50"/>
      <c r="D5" s="43"/>
      <c r="E5" s="49"/>
      <c r="H5" s="21"/>
      <c r="J5" s="21">
        <v>0</v>
      </c>
      <c r="K5" s="40" t="s">
        <v>199</v>
      </c>
      <c r="L5" s="21"/>
      <c r="M5" s="21"/>
      <c r="AX5" s="40" t="s">
        <v>199</v>
      </c>
    </row>
    <row r="6" spans="1:50" ht="15" customHeight="1">
      <c r="A6" s="41" t="s">
        <v>386</v>
      </c>
      <c r="B6" s="51">
        <v>0</v>
      </c>
      <c r="C6" s="52">
        <v>4500</v>
      </c>
      <c r="D6" s="43"/>
      <c r="E6" s="51"/>
      <c r="G6" s="44"/>
      <c r="H6" s="21"/>
      <c r="J6" s="21">
        <v>0</v>
      </c>
      <c r="K6" s="40" t="s">
        <v>200</v>
      </c>
      <c r="L6" s="21"/>
      <c r="M6" s="21"/>
      <c r="AX6" s="40" t="s">
        <v>200</v>
      </c>
    </row>
    <row r="7" spans="1:50" ht="15" customHeight="1">
      <c r="A7" s="41" t="s">
        <v>387</v>
      </c>
      <c r="B7" s="51" t="s">
        <v>388</v>
      </c>
      <c r="C7" s="52">
        <v>6000</v>
      </c>
      <c r="D7" s="43"/>
      <c r="E7" s="51"/>
      <c r="G7" s="44"/>
      <c r="H7" s="21"/>
      <c r="J7" s="21">
        <v>0</v>
      </c>
      <c r="K7" s="40" t="s">
        <v>197</v>
      </c>
      <c r="L7" s="21"/>
      <c r="M7" s="21"/>
      <c r="AX7" s="40" t="s">
        <v>197</v>
      </c>
    </row>
    <row r="8" spans="1:13" ht="15" customHeight="1">
      <c r="A8" s="41"/>
      <c r="B8" s="42"/>
      <c r="C8" s="53"/>
      <c r="D8" s="43"/>
      <c r="E8" s="42"/>
      <c r="G8" s="44"/>
      <c r="H8" s="21"/>
      <c r="J8" s="21">
        <v>0</v>
      </c>
      <c r="L8" s="21"/>
      <c r="M8" s="21"/>
    </row>
    <row r="9" spans="1:13" ht="15" customHeight="1">
      <c r="A9" s="41"/>
      <c r="B9" s="54"/>
      <c r="C9" s="53"/>
      <c r="D9" s="43"/>
      <c r="E9" s="54"/>
      <c r="G9" s="44"/>
      <c r="H9" s="21"/>
      <c r="J9" s="21">
        <v>0</v>
      </c>
      <c r="L9" s="21"/>
      <c r="M9" s="21"/>
    </row>
    <row r="10" spans="1:13" ht="15" customHeight="1">
      <c r="A10" s="110" t="str">
        <f>C6&amp;" x L.150.000 : 10.000"</f>
        <v>4500 x L.150.000 : 10.000</v>
      </c>
      <c r="B10" s="55"/>
      <c r="C10" s="417">
        <f>C6*(150000/1936.27)/10000</f>
        <v>34.860840688540335</v>
      </c>
      <c r="D10" s="56"/>
      <c r="E10" s="57"/>
      <c r="G10" s="44"/>
      <c r="H10" s="21"/>
      <c r="J10" s="21">
        <v>0</v>
      </c>
      <c r="L10" s="21"/>
      <c r="M10" s="21"/>
    </row>
    <row r="11" spans="1:13" ht="15" customHeight="1">
      <c r="A11" s="110" t="str">
        <f>C7&amp;" x €."</f>
        <v>6000 x €.</v>
      </c>
      <c r="B11" s="418">
        <f>15/1936.27</f>
        <v>0.007746853486342298</v>
      </c>
      <c r="C11" s="419">
        <f>C7*B11</f>
        <v>46.48112091805379</v>
      </c>
      <c r="D11" s="58"/>
      <c r="E11" s="59"/>
      <c r="G11" s="60"/>
      <c r="H11" s="21"/>
      <c r="J11" s="21">
        <v>0</v>
      </c>
      <c r="L11" s="21"/>
      <c r="M11" s="21"/>
    </row>
    <row r="12" spans="1:19" ht="15" customHeight="1">
      <c r="A12" s="41"/>
      <c r="B12" s="59"/>
      <c r="C12" s="61"/>
      <c r="D12" s="43"/>
      <c r="E12" s="59"/>
      <c r="G12" s="60"/>
      <c r="H12" s="21"/>
      <c r="J12" s="21">
        <v>0</v>
      </c>
      <c r="L12" s="21"/>
      <c r="M12" s="21"/>
      <c r="O12" s="21"/>
      <c r="S12" s="21"/>
    </row>
    <row r="13" spans="1:19" ht="15" customHeight="1">
      <c r="A13" s="62" t="s">
        <v>389</v>
      </c>
      <c r="B13" s="63"/>
      <c r="D13" s="420">
        <f>SUM(C10:C12)</f>
        <v>81.34196160659413</v>
      </c>
      <c r="E13" s="63"/>
      <c r="G13" s="60"/>
      <c r="H13" s="21"/>
      <c r="L13" s="21"/>
      <c r="M13" s="21"/>
      <c r="O13" s="21"/>
      <c r="S13" s="21"/>
    </row>
    <row r="14" spans="1:19" ht="15" customHeight="1">
      <c r="A14" s="41"/>
      <c r="B14" s="49"/>
      <c r="C14" s="64"/>
      <c r="D14" s="43"/>
      <c r="E14" s="49"/>
      <c r="H14" s="21"/>
      <c r="L14" s="21"/>
      <c r="M14" s="21"/>
      <c r="O14" s="21"/>
      <c r="S14" s="21"/>
    </row>
    <row r="15" spans="1:19" ht="40.5" customHeight="1">
      <c r="A15" s="41" t="s">
        <v>234</v>
      </c>
      <c r="B15" s="59"/>
      <c r="C15" s="111">
        <v>2.8</v>
      </c>
      <c r="D15" s="43"/>
      <c r="E15" s="59"/>
      <c r="H15" s="21"/>
      <c r="L15" s="21"/>
      <c r="M15" s="21"/>
      <c r="O15" s="21"/>
      <c r="S15" s="21"/>
    </row>
    <row r="16" spans="1:19" ht="21.75" customHeight="1">
      <c r="A16" s="67" t="s">
        <v>142</v>
      </c>
      <c r="B16" s="388">
        <v>0</v>
      </c>
      <c r="C16" s="389">
        <f>C15+(C15*B16)</f>
        <v>2.8</v>
      </c>
      <c r="D16" s="43"/>
      <c r="E16" s="59"/>
      <c r="H16" s="21"/>
      <c r="L16" s="21"/>
      <c r="M16" s="21"/>
      <c r="O16" s="21"/>
      <c r="S16" s="21"/>
    </row>
    <row r="17" spans="1:19" ht="17.25" customHeight="1">
      <c r="A17" s="65" t="s">
        <v>235</v>
      </c>
      <c r="B17" s="51"/>
      <c r="C17" s="53"/>
      <c r="D17" s="66"/>
      <c r="E17" s="51"/>
      <c r="M17" s="21"/>
      <c r="O17" s="21"/>
      <c r="S17" s="21"/>
    </row>
    <row r="18" spans="1:5" ht="15" customHeight="1">
      <c r="A18" s="83" t="str">
        <f>D13&amp;" x "&amp;C16</f>
        <v>81,3419616065941 x 2,8</v>
      </c>
      <c r="B18" s="51"/>
      <c r="C18" s="53" t="s">
        <v>237</v>
      </c>
      <c r="D18" s="421">
        <f>D13*C16</f>
        <v>227.75749249846353</v>
      </c>
      <c r="E18" s="51"/>
    </row>
    <row r="19" spans="1:5" ht="15" customHeight="1">
      <c r="A19" s="41"/>
      <c r="B19" s="54"/>
      <c r="C19" s="53"/>
      <c r="D19" s="43"/>
      <c r="E19" s="54"/>
    </row>
    <row r="20" spans="1:5" ht="15" customHeight="1">
      <c r="A20" s="78" t="s">
        <v>236</v>
      </c>
      <c r="B20" s="59"/>
      <c r="C20" s="69"/>
      <c r="D20" s="43"/>
      <c r="E20" s="59"/>
    </row>
    <row r="21" spans="1:5" ht="15" customHeight="1">
      <c r="A21" s="41"/>
      <c r="B21" s="59"/>
      <c r="C21" s="69"/>
      <c r="D21" s="43"/>
      <c r="E21" s="59"/>
    </row>
    <row r="22" spans="1:5" ht="42.75" customHeight="1">
      <c r="A22" s="41" t="s">
        <v>239</v>
      </c>
      <c r="B22" s="59"/>
      <c r="C22" s="70">
        <v>0.55</v>
      </c>
      <c r="D22" s="43"/>
      <c r="E22" s="59"/>
    </row>
    <row r="23" spans="1:10" ht="15" customHeight="1">
      <c r="A23" s="41"/>
      <c r="B23" s="59"/>
      <c r="C23" s="71"/>
      <c r="D23" s="43"/>
      <c r="E23" s="59"/>
      <c r="J23" s="127" t="s">
        <v>283</v>
      </c>
    </row>
    <row r="24" spans="1:10" ht="15" customHeight="1">
      <c r="A24" s="41" t="s">
        <v>238</v>
      </c>
      <c r="B24" s="59"/>
      <c r="C24" s="71"/>
      <c r="D24" s="421">
        <f>D18*C22</f>
        <v>125.26662087415495</v>
      </c>
      <c r="E24" s="59"/>
      <c r="J24" s="21">
        <v>0</v>
      </c>
    </row>
    <row r="25" spans="1:10" ht="15" customHeight="1">
      <c r="A25" s="41"/>
      <c r="B25" s="59">
        <v>0</v>
      </c>
      <c r="C25" s="71"/>
      <c r="D25" s="72"/>
      <c r="E25" s="59"/>
      <c r="H25" s="21"/>
      <c r="J25" s="21">
        <v>0</v>
      </c>
    </row>
    <row r="26" spans="1:10" ht="4.5" customHeight="1">
      <c r="A26" s="45"/>
      <c r="B26" s="59"/>
      <c r="C26" s="69"/>
      <c r="D26" s="48"/>
      <c r="E26" s="59"/>
      <c r="H26" s="21"/>
      <c r="J26" s="21">
        <v>0</v>
      </c>
    </row>
    <row r="27" spans="1:10" ht="15" customHeight="1">
      <c r="A27" s="45" t="s">
        <v>240</v>
      </c>
      <c r="B27" s="59"/>
      <c r="C27" s="61"/>
      <c r="D27" s="421">
        <f>D18+D24</f>
        <v>353.0241133726185</v>
      </c>
      <c r="E27" s="59"/>
      <c r="H27" s="21"/>
      <c r="J27" s="21">
        <v>0</v>
      </c>
    </row>
    <row r="28" spans="1:15" ht="11.25" customHeight="1">
      <c r="A28" s="45"/>
      <c r="B28" s="46"/>
      <c r="C28" s="47"/>
      <c r="D28" s="48"/>
      <c r="E28" s="46"/>
      <c r="H28" s="21"/>
      <c r="J28" s="21">
        <v>0</v>
      </c>
      <c r="O28" s="73"/>
    </row>
    <row r="29" spans="1:15" ht="9" customHeight="1">
      <c r="A29" s="41"/>
      <c r="B29" s="49"/>
      <c r="C29" s="50"/>
      <c r="D29" s="43"/>
      <c r="E29" s="49"/>
      <c r="H29" s="21"/>
      <c r="J29" s="21">
        <v>0</v>
      </c>
      <c r="O29" s="73"/>
    </row>
    <row r="30" spans="1:15" ht="33.75" customHeight="1">
      <c r="A30" s="41" t="s">
        <v>36</v>
      </c>
      <c r="B30" s="46"/>
      <c r="C30" s="74">
        <v>16.2</v>
      </c>
      <c r="D30" s="48"/>
      <c r="E30" s="46"/>
      <c r="H30" s="21"/>
      <c r="J30" s="21">
        <v>0</v>
      </c>
      <c r="O30" s="73"/>
    </row>
    <row r="31" spans="1:15" ht="15" customHeight="1">
      <c r="A31" s="41"/>
      <c r="B31" s="49"/>
      <c r="C31" s="50"/>
      <c r="D31" s="43"/>
      <c r="E31" s="49"/>
      <c r="H31" s="21"/>
      <c r="J31" s="21">
        <v>0</v>
      </c>
      <c r="O31" s="73"/>
    </row>
    <row r="32" spans="1:15" ht="15" customHeight="1">
      <c r="A32" s="41" t="s">
        <v>241</v>
      </c>
      <c r="B32" s="51"/>
      <c r="C32" s="75"/>
      <c r="D32" s="421">
        <f>D27*C30</f>
        <v>5718.990636636419</v>
      </c>
      <c r="E32" s="51"/>
      <c r="H32" s="21"/>
      <c r="J32" s="21">
        <v>0</v>
      </c>
      <c r="O32" s="73"/>
    </row>
    <row r="33" spans="1:15" ht="9" customHeight="1">
      <c r="A33" s="41"/>
      <c r="B33" s="51"/>
      <c r="C33" s="52"/>
      <c r="D33" s="43"/>
      <c r="E33" s="51"/>
      <c r="J33" s="23"/>
      <c r="O33" s="73"/>
    </row>
    <row r="34" spans="1:15" ht="6.75" customHeight="1">
      <c r="A34" s="41"/>
      <c r="B34" s="42"/>
      <c r="C34" s="53"/>
      <c r="D34" s="43"/>
      <c r="E34" s="42"/>
      <c r="H34" s="21"/>
      <c r="J34" s="21"/>
      <c r="O34" s="73"/>
    </row>
    <row r="35" spans="1:15" ht="15" customHeight="1">
      <c r="A35" s="78" t="s">
        <v>242</v>
      </c>
      <c r="B35" s="54"/>
      <c r="C35" s="53"/>
      <c r="D35" s="421">
        <f>D32+D27</f>
        <v>6072.014750009038</v>
      </c>
      <c r="E35" s="54"/>
      <c r="H35" s="21"/>
      <c r="J35" s="21"/>
      <c r="O35" s="73"/>
    </row>
    <row r="36" spans="1:15" ht="9.75" customHeight="1">
      <c r="A36" s="76"/>
      <c r="B36" s="57"/>
      <c r="C36" s="77"/>
      <c r="D36" s="56"/>
      <c r="E36" s="57"/>
      <c r="H36" s="21"/>
      <c r="J36" s="21"/>
      <c r="O36" s="73"/>
    </row>
    <row r="37" spans="1:15" ht="15" customHeight="1" hidden="1">
      <c r="A37" s="78"/>
      <c r="B37" s="59"/>
      <c r="C37" s="69"/>
      <c r="D37" s="79"/>
      <c r="E37" s="59"/>
      <c r="H37" s="21"/>
      <c r="J37" s="21"/>
      <c r="O37" s="73"/>
    </row>
    <row r="38" spans="1:15" ht="15" customHeight="1" hidden="1">
      <c r="A38" s="41"/>
      <c r="B38" s="59"/>
      <c r="C38" s="80"/>
      <c r="D38" s="43"/>
      <c r="E38" s="59"/>
      <c r="H38" s="21"/>
      <c r="J38" s="21"/>
      <c r="O38" s="73"/>
    </row>
    <row r="39" spans="1:15" ht="5.25" customHeight="1">
      <c r="A39" s="45"/>
      <c r="B39" s="63"/>
      <c r="C39" s="81"/>
      <c r="D39" s="48"/>
      <c r="E39" s="63"/>
      <c r="H39" s="21"/>
      <c r="J39" s="21"/>
      <c r="O39" s="73"/>
    </row>
    <row r="40" spans="1:15" ht="15" customHeight="1">
      <c r="A40" s="83" t="s">
        <v>374</v>
      </c>
      <c r="B40" s="57"/>
      <c r="E40" s="422">
        <f>D35*2/100</f>
        <v>121.44029500018075</v>
      </c>
      <c r="H40" s="21"/>
      <c r="J40" s="21"/>
      <c r="O40" s="73"/>
    </row>
    <row r="41" spans="1:15" ht="15" customHeight="1">
      <c r="A41" s="83" t="s">
        <v>376</v>
      </c>
      <c r="B41" s="57"/>
      <c r="E41" s="422">
        <f>E40+D35</f>
        <v>6193.455045009218</v>
      </c>
      <c r="H41" s="21"/>
      <c r="J41" s="21"/>
      <c r="O41" s="73"/>
    </row>
    <row r="42" spans="1:15" ht="15" customHeight="1">
      <c r="A42" s="83" t="s">
        <v>375</v>
      </c>
      <c r="B42" s="57"/>
      <c r="E42" s="419">
        <f>E41*20/100</f>
        <v>1238.6910090018437</v>
      </c>
      <c r="H42" s="21"/>
      <c r="J42" s="21"/>
      <c r="O42" s="73"/>
    </row>
    <row r="43" spans="1:15" ht="15" customHeight="1">
      <c r="A43" s="84" t="s">
        <v>378</v>
      </c>
      <c r="B43" s="57"/>
      <c r="E43" s="423">
        <f>SUM(E41:E42)</f>
        <v>7432.146054011062</v>
      </c>
      <c r="H43" s="21"/>
      <c r="J43" s="127" t="s">
        <v>283</v>
      </c>
      <c r="O43" s="73"/>
    </row>
    <row r="44" spans="1:15" ht="15" customHeight="1">
      <c r="A44" s="65"/>
      <c r="B44" s="51"/>
      <c r="C44" s="53"/>
      <c r="D44" s="66"/>
      <c r="E44" s="51"/>
      <c r="J44" s="21">
        <v>0</v>
      </c>
      <c r="O44" s="73"/>
    </row>
    <row r="45" spans="1:15" ht="15" customHeight="1">
      <c r="A45" s="41"/>
      <c r="B45" s="54"/>
      <c r="C45" s="53"/>
      <c r="D45" s="43"/>
      <c r="E45" s="54"/>
      <c r="H45" s="21"/>
      <c r="J45" s="21">
        <v>0</v>
      </c>
      <c r="M45" s="21"/>
      <c r="O45" s="73"/>
    </row>
    <row r="46" spans="1:13" ht="15" customHeight="1">
      <c r="A46" s="67"/>
      <c r="B46" s="42"/>
      <c r="C46" s="42"/>
      <c r="D46" s="68"/>
      <c r="E46" s="42"/>
      <c r="H46" s="82"/>
      <c r="J46" s="21">
        <v>0</v>
      </c>
      <c r="M46" s="21"/>
    </row>
    <row r="47" spans="1:15" ht="15" customHeight="1">
      <c r="A47" s="41"/>
      <c r="B47" s="59"/>
      <c r="C47" s="69"/>
      <c r="D47" s="43"/>
      <c r="E47" s="59"/>
      <c r="H47" s="21"/>
      <c r="J47" s="21">
        <v>0</v>
      </c>
      <c r="M47" s="21"/>
      <c r="O47" s="73"/>
    </row>
    <row r="48" spans="1:15" ht="15" customHeight="1">
      <c r="A48" s="41"/>
      <c r="B48" s="59"/>
      <c r="C48" s="71"/>
      <c r="D48" s="43"/>
      <c r="E48" s="59"/>
      <c r="H48" s="21"/>
      <c r="J48" s="21">
        <v>0</v>
      </c>
      <c r="M48" s="21"/>
      <c r="O48" s="73"/>
    </row>
    <row r="49" spans="1:15" ht="15" customHeight="1">
      <c r="A49" s="41"/>
      <c r="B49" s="59"/>
      <c r="C49" s="71"/>
      <c r="D49" s="43"/>
      <c r="E49" s="59"/>
      <c r="H49" s="21"/>
      <c r="J49" s="21">
        <v>0</v>
      </c>
      <c r="M49" s="21"/>
      <c r="O49" s="73"/>
    </row>
    <row r="50" spans="1:15" ht="15" customHeight="1">
      <c r="A50" s="41"/>
      <c r="B50" s="59"/>
      <c r="C50" s="71"/>
      <c r="D50" s="43"/>
      <c r="E50" s="59"/>
      <c r="H50" s="21"/>
      <c r="J50" s="21">
        <v>0</v>
      </c>
      <c r="M50" s="21"/>
      <c r="O50" s="73"/>
    </row>
    <row r="51" spans="1:15" ht="15" customHeight="1">
      <c r="A51" s="41"/>
      <c r="B51" s="59"/>
      <c r="C51" s="61"/>
      <c r="D51" s="43"/>
      <c r="E51" s="59"/>
      <c r="J51" s="21">
        <v>0</v>
      </c>
      <c r="M51" s="21"/>
      <c r="O51" s="73"/>
    </row>
    <row r="52" spans="1:15" ht="15" customHeight="1">
      <c r="A52" s="56"/>
      <c r="B52" s="57"/>
      <c r="C52" s="57"/>
      <c r="D52" s="152"/>
      <c r="E52" s="152"/>
      <c r="J52" s="21">
        <v>0</v>
      </c>
      <c r="O52" s="73"/>
    </row>
    <row r="53" spans="1:5" ht="12" customHeight="1">
      <c r="A53" s="57"/>
      <c r="B53" s="57"/>
      <c r="C53" s="42"/>
      <c r="D53" s="57"/>
      <c r="E53" s="57"/>
    </row>
    <row r="54" spans="1:3" ht="12" customHeight="1">
      <c r="A54" s="43"/>
      <c r="B54" s="79"/>
      <c r="C54" s="86"/>
    </row>
    <row r="55" spans="1:10" ht="12" customHeight="1">
      <c r="A55" s="43"/>
      <c r="B55" s="79"/>
      <c r="C55" s="86"/>
      <c r="J55" s="127" t="s">
        <v>283</v>
      </c>
    </row>
    <row r="56" spans="1:10" ht="12" customHeight="1">
      <c r="A56" s="85"/>
      <c r="C56" s="86"/>
      <c r="J56" s="21">
        <v>0</v>
      </c>
    </row>
    <row r="57" spans="1:10" ht="12" customHeight="1">
      <c r="A57" s="85"/>
      <c r="C57" s="86"/>
      <c r="J57" s="21">
        <v>0</v>
      </c>
    </row>
    <row r="58" spans="1:10" ht="12">
      <c r="A58" s="85"/>
      <c r="C58" s="86"/>
      <c r="J58" s="21">
        <v>0</v>
      </c>
    </row>
    <row r="59" spans="1:10" ht="12">
      <c r="A59" s="85"/>
      <c r="C59" s="86"/>
      <c r="J59" s="21">
        <v>0</v>
      </c>
    </row>
    <row r="60" spans="1:10" ht="12">
      <c r="A60" s="85"/>
      <c r="B60" s="87"/>
      <c r="C60" s="86"/>
      <c r="J60" s="21">
        <v>0</v>
      </c>
    </row>
    <row r="61" spans="1:10" ht="12">
      <c r="A61" s="88"/>
      <c r="B61" s="87"/>
      <c r="C61" s="86"/>
      <c r="J61" s="21">
        <v>0</v>
      </c>
    </row>
    <row r="62" spans="1:10" ht="12">
      <c r="A62" s="85"/>
      <c r="C62" s="89"/>
      <c r="J62" s="21">
        <v>0</v>
      </c>
    </row>
    <row r="63" spans="1:10" ht="12">
      <c r="A63" s="85"/>
      <c r="B63" s="86"/>
      <c r="C63" s="86"/>
      <c r="J63" s="21">
        <v>0</v>
      </c>
    </row>
    <row r="64" spans="1:10" ht="12">
      <c r="A64" s="85"/>
      <c r="B64" s="86"/>
      <c r="C64" s="90"/>
      <c r="J64" s="21">
        <v>0</v>
      </c>
    </row>
    <row r="65" spans="1:3" ht="12">
      <c r="A65" s="88"/>
      <c r="B65" s="91"/>
      <c r="C65" s="92"/>
    </row>
    <row r="66" spans="1:3" ht="12">
      <c r="A66" s="88"/>
      <c r="B66" s="91"/>
      <c r="C66" s="92"/>
    </row>
    <row r="67" spans="1:3" ht="12">
      <c r="A67" s="88"/>
      <c r="B67" s="91"/>
      <c r="C67" s="92"/>
    </row>
    <row r="68" spans="1:3" ht="12">
      <c r="A68" s="85"/>
      <c r="B68" s="86"/>
      <c r="C68" s="86"/>
    </row>
    <row r="69" spans="1:3" ht="12">
      <c r="A69" s="85"/>
      <c r="B69" s="86"/>
      <c r="C69" s="86"/>
    </row>
    <row r="70" spans="1:3" ht="12">
      <c r="A70" s="85"/>
      <c r="B70" s="86"/>
      <c r="C70" s="86"/>
    </row>
    <row r="71" spans="1:3" ht="12">
      <c r="A71" s="85"/>
      <c r="B71" s="86"/>
      <c r="C71" s="86"/>
    </row>
    <row r="72" spans="1:3" ht="12">
      <c r="A72" s="85"/>
      <c r="B72" s="86"/>
      <c r="C72" s="86"/>
    </row>
    <row r="73" spans="1:3" ht="12">
      <c r="A73" s="85"/>
      <c r="B73" s="86"/>
      <c r="C73" s="86"/>
    </row>
    <row r="74" spans="1:3" ht="12">
      <c r="A74" s="85"/>
      <c r="B74" s="86"/>
      <c r="C74" s="86"/>
    </row>
    <row r="75" spans="1:3" ht="12">
      <c r="A75" s="85"/>
      <c r="B75" s="86"/>
      <c r="C75" s="93"/>
    </row>
    <row r="76" spans="1:3" ht="12">
      <c r="A76" s="88"/>
      <c r="B76" s="94"/>
      <c r="C76" s="86"/>
    </row>
    <row r="77" spans="1:3" ht="12">
      <c r="A77" s="85"/>
      <c r="B77" s="86"/>
      <c r="C77" s="90"/>
    </row>
    <row r="78" spans="1:3" ht="12">
      <c r="A78" s="88"/>
      <c r="B78" s="86"/>
      <c r="C78" s="90"/>
    </row>
    <row r="79" spans="1:3" ht="12">
      <c r="A79" s="85"/>
      <c r="B79" s="86"/>
      <c r="C79" s="86"/>
    </row>
    <row r="80" spans="1:3" ht="12">
      <c r="A80" s="85"/>
      <c r="B80" s="95"/>
      <c r="C80" s="90"/>
    </row>
    <row r="81" spans="1:3" ht="12">
      <c r="A81" s="85"/>
      <c r="B81" s="95"/>
      <c r="C81" s="90"/>
    </row>
    <row r="82" spans="1:3" ht="12">
      <c r="A82" s="85"/>
      <c r="B82" s="95"/>
      <c r="C82" s="86"/>
    </row>
    <row r="83" spans="1:3" ht="12">
      <c r="A83" s="85"/>
      <c r="B83" s="95"/>
      <c r="C83" s="90"/>
    </row>
    <row r="84" spans="1:3" ht="12">
      <c r="A84" s="85"/>
      <c r="B84" s="95"/>
      <c r="C84" s="90"/>
    </row>
    <row r="85" spans="1:3" ht="12">
      <c r="A85" s="88"/>
      <c r="B85" s="86"/>
      <c r="C85" s="86"/>
    </row>
    <row r="86" spans="1:3" ht="12">
      <c r="A86" s="85"/>
      <c r="B86" s="90"/>
      <c r="C86" s="90"/>
    </row>
    <row r="87" spans="1:3" ht="12">
      <c r="A87" s="88"/>
      <c r="B87" s="86"/>
      <c r="C87" s="86"/>
    </row>
    <row r="88" spans="1:3" ht="12">
      <c r="A88" s="88"/>
      <c r="B88" s="86"/>
      <c r="C88" s="86"/>
    </row>
    <row r="89" spans="1:3" ht="12">
      <c r="A89" s="85"/>
      <c r="B89" s="86"/>
      <c r="C89" s="86"/>
    </row>
    <row r="90" spans="1:3" ht="12">
      <c r="A90" s="85"/>
      <c r="B90" s="95"/>
      <c r="C90" s="86"/>
    </row>
    <row r="91" spans="1:3" ht="12">
      <c r="A91" s="85"/>
      <c r="B91" s="86"/>
      <c r="C91" s="90"/>
    </row>
    <row r="92" spans="1:3" ht="12">
      <c r="A92" s="88"/>
      <c r="B92" s="86"/>
      <c r="C92" s="86"/>
    </row>
    <row r="93" spans="1:3" ht="12">
      <c r="A93" s="85"/>
      <c r="B93" s="86"/>
      <c r="C93" s="86"/>
    </row>
    <row r="94" spans="1:3" ht="12">
      <c r="A94" s="85"/>
      <c r="B94" s="95"/>
      <c r="C94" s="86"/>
    </row>
    <row r="95" spans="1:3" ht="12">
      <c r="A95" s="85"/>
      <c r="B95" s="95"/>
      <c r="C95" s="86"/>
    </row>
    <row r="96" spans="1:3" ht="12">
      <c r="A96" s="85"/>
      <c r="B96" s="86"/>
      <c r="C96" s="90"/>
    </row>
    <row r="97" spans="1:3" ht="12">
      <c r="A97" s="88"/>
      <c r="B97" s="86"/>
      <c r="C97" s="86"/>
    </row>
    <row r="98" spans="1:3" ht="12">
      <c r="A98" s="85"/>
      <c r="B98" s="86"/>
      <c r="C98" s="86"/>
    </row>
    <row r="99" spans="1:3" ht="12">
      <c r="A99" s="85"/>
      <c r="B99" s="86"/>
      <c r="C99" s="86"/>
    </row>
    <row r="100" spans="1:3" ht="12">
      <c r="A100" s="85"/>
      <c r="C100" s="90"/>
    </row>
    <row r="101" spans="1:3" ht="12">
      <c r="A101" s="85"/>
      <c r="B101" s="86"/>
      <c r="C101" s="90"/>
    </row>
    <row r="102" spans="1:3" ht="12">
      <c r="A102" s="85"/>
      <c r="C102" s="90"/>
    </row>
    <row r="103" spans="1:3" ht="12">
      <c r="A103" s="88"/>
      <c r="C103" s="90"/>
    </row>
    <row r="104" spans="1:3" ht="12">
      <c r="A104" s="88"/>
      <c r="C104" s="90"/>
    </row>
    <row r="105" spans="1:3" ht="12">
      <c r="A105" s="85"/>
      <c r="B105" s="91"/>
      <c r="C105" s="92"/>
    </row>
    <row r="106" spans="1:3" ht="12">
      <c r="A106" s="85"/>
      <c r="B106" s="91"/>
      <c r="C106" s="90"/>
    </row>
    <row r="107" spans="1:3" ht="12">
      <c r="A107" s="88"/>
      <c r="C107" s="90"/>
    </row>
    <row r="108" spans="1:3" ht="12">
      <c r="A108" s="85"/>
      <c r="C108" s="90"/>
    </row>
    <row r="109" spans="1:3" ht="12">
      <c r="A109" s="85"/>
      <c r="C109" s="90"/>
    </row>
    <row r="110" spans="1:3" ht="12">
      <c r="A110" s="88"/>
      <c r="C110" s="90"/>
    </row>
    <row r="111" spans="1:3" ht="12">
      <c r="A111" s="85"/>
      <c r="C111" s="90"/>
    </row>
    <row r="112" spans="1:3" ht="12">
      <c r="A112" s="88"/>
      <c r="B112" s="86"/>
      <c r="C112" s="86"/>
    </row>
    <row r="113" spans="1:3" ht="12">
      <c r="A113" s="85"/>
      <c r="B113" s="86"/>
      <c r="C113" s="86"/>
    </row>
    <row r="114" spans="1:3" ht="12">
      <c r="A114" s="85"/>
      <c r="B114" s="86"/>
      <c r="C114" s="86"/>
    </row>
    <row r="115" spans="1:3" ht="12">
      <c r="A115" s="85"/>
      <c r="B115" s="95"/>
      <c r="C115" s="95"/>
    </row>
    <row r="116" spans="1:3" ht="12">
      <c r="A116" s="85"/>
      <c r="B116" s="86"/>
      <c r="C116" s="90"/>
    </row>
    <row r="117" spans="1:3" ht="12">
      <c r="A117" s="88"/>
      <c r="B117" s="86"/>
      <c r="C117" s="86"/>
    </row>
    <row r="118" ht="12">
      <c r="A118" s="88"/>
    </row>
    <row r="119" spans="1:3" ht="12">
      <c r="A119" s="85"/>
      <c r="C119" s="90"/>
    </row>
    <row r="120" ht="12">
      <c r="A120" s="88"/>
    </row>
    <row r="121" ht="12">
      <c r="A121" s="88"/>
    </row>
    <row r="122" ht="12">
      <c r="A122" s="88"/>
    </row>
    <row r="123" ht="12">
      <c r="A123" s="88"/>
    </row>
    <row r="124" spans="1:3" ht="12">
      <c r="A124" s="85"/>
      <c r="B124" s="93"/>
      <c r="C124" s="90"/>
    </row>
    <row r="125" spans="1:3" ht="12">
      <c r="A125" s="88"/>
      <c r="B125" s="86"/>
      <c r="C125" s="86"/>
    </row>
    <row r="126" spans="1:3" ht="12">
      <c r="A126" s="85"/>
      <c r="B126" s="86"/>
      <c r="C126" s="86"/>
    </row>
    <row r="127" spans="1:3" ht="12">
      <c r="A127" s="85"/>
      <c r="B127" s="86"/>
      <c r="C127" s="86"/>
    </row>
    <row r="128" spans="1:3" ht="12">
      <c r="A128" s="85"/>
      <c r="B128" s="93"/>
      <c r="C128" s="93"/>
    </row>
    <row r="129" spans="1:3" ht="12">
      <c r="A129" s="85"/>
      <c r="B129" s="86"/>
      <c r="C129" s="90"/>
    </row>
    <row r="134" spans="1:3" ht="12">
      <c r="A134" s="85"/>
      <c r="B134" s="86"/>
      <c r="C134" s="86"/>
    </row>
    <row r="135" spans="1:3" ht="12">
      <c r="A135" s="85"/>
      <c r="B135" s="86"/>
      <c r="C135" s="86"/>
    </row>
    <row r="136" spans="1:3" ht="12">
      <c r="A136" s="85"/>
      <c r="B136" s="86"/>
      <c r="C136" s="90"/>
    </row>
    <row r="137" spans="1:3" ht="12">
      <c r="A137" s="85"/>
      <c r="B137" s="86"/>
      <c r="C137" s="90"/>
    </row>
    <row r="138" ht="12">
      <c r="A138" s="85"/>
    </row>
    <row r="139" ht="12">
      <c r="A139" s="88"/>
    </row>
    <row r="140" spans="1:3" ht="12">
      <c r="A140" s="85"/>
      <c r="B140" s="86"/>
      <c r="C140" s="86"/>
    </row>
    <row r="141" spans="1:3" ht="12">
      <c r="A141" s="85"/>
      <c r="C141" s="86"/>
    </row>
    <row r="142" spans="1:3" ht="12">
      <c r="A142" s="85"/>
      <c r="C142" s="86"/>
    </row>
    <row r="143" spans="1:3" ht="12">
      <c r="A143" s="85"/>
      <c r="C143" s="86"/>
    </row>
    <row r="144" spans="1:3" ht="12">
      <c r="A144" s="85"/>
      <c r="C144" s="86"/>
    </row>
    <row r="145" spans="1:3" ht="12">
      <c r="A145" s="85"/>
      <c r="C145" s="86"/>
    </row>
    <row r="146" spans="1:3" ht="12">
      <c r="A146" s="85"/>
      <c r="C146" s="86"/>
    </row>
    <row r="147" spans="1:3" ht="12">
      <c r="A147" s="85"/>
      <c r="C147" s="86"/>
    </row>
    <row r="148" spans="1:3" ht="12">
      <c r="A148" s="85"/>
      <c r="C148" s="86"/>
    </row>
    <row r="149" spans="1:3" ht="12">
      <c r="A149" s="85"/>
      <c r="C149" s="86"/>
    </row>
    <row r="150" spans="1:3" ht="12">
      <c r="A150" s="85"/>
      <c r="B150" s="87"/>
      <c r="C150" s="86"/>
    </row>
    <row r="151" spans="1:3" ht="12">
      <c r="A151" s="88"/>
      <c r="B151" s="87"/>
      <c r="C151" s="86"/>
    </row>
    <row r="152" spans="1:3" ht="12">
      <c r="A152" s="85"/>
      <c r="C152" s="89"/>
    </row>
    <row r="153" spans="1:3" ht="12">
      <c r="A153" s="85"/>
      <c r="B153" s="86"/>
      <c r="C153" s="86"/>
    </row>
    <row r="154" spans="1:3" ht="12">
      <c r="A154" s="85"/>
      <c r="B154" s="86"/>
      <c r="C154" s="90"/>
    </row>
    <row r="155" spans="1:3" ht="12">
      <c r="A155" s="88"/>
      <c r="B155" s="91"/>
      <c r="C155" s="92"/>
    </row>
    <row r="156" spans="1:3" ht="12">
      <c r="A156" s="85"/>
      <c r="B156" s="91"/>
      <c r="C156" s="92"/>
    </row>
    <row r="157" spans="1:3" ht="12">
      <c r="A157" s="85"/>
      <c r="B157" s="91"/>
      <c r="C157" s="90"/>
    </row>
    <row r="158" spans="1:3" ht="12">
      <c r="A158" s="88"/>
      <c r="B158" s="91"/>
      <c r="C158" s="92"/>
    </row>
    <row r="159" spans="1:3" ht="12">
      <c r="A159" s="88"/>
      <c r="B159" s="91"/>
      <c r="C159" s="92"/>
    </row>
    <row r="160" spans="1:3" ht="12">
      <c r="A160" s="85"/>
      <c r="B160" s="91"/>
      <c r="C160" s="92"/>
    </row>
    <row r="161" spans="1:3" ht="12">
      <c r="A161" s="85"/>
      <c r="B161" s="91"/>
      <c r="C161" s="90"/>
    </row>
    <row r="162" spans="1:3" ht="12">
      <c r="A162" s="88"/>
      <c r="B162" s="91"/>
      <c r="C162" s="92"/>
    </row>
    <row r="163" spans="1:3" ht="12">
      <c r="A163" s="85"/>
      <c r="C163" s="90"/>
    </row>
    <row r="164" spans="1:3" ht="12">
      <c r="A164" s="88"/>
      <c r="B164" s="86"/>
      <c r="C164" s="86"/>
    </row>
    <row r="165" spans="1:3" ht="12">
      <c r="A165" s="85"/>
      <c r="B165" s="86"/>
      <c r="C165" s="86"/>
    </row>
    <row r="166" spans="1:3" ht="12">
      <c r="A166" s="85"/>
      <c r="B166" s="86"/>
      <c r="C166" s="86"/>
    </row>
    <row r="167" spans="1:3" ht="12">
      <c r="A167" s="85"/>
      <c r="B167" s="95"/>
      <c r="C167" s="95"/>
    </row>
    <row r="168" spans="1:3" ht="12">
      <c r="A168" s="85"/>
      <c r="B168" s="90"/>
      <c r="C168" s="90"/>
    </row>
    <row r="169" spans="1:3" ht="12">
      <c r="A169" s="88"/>
      <c r="B169" s="91"/>
      <c r="C169" s="92"/>
    </row>
  </sheetData>
  <sheetProtection/>
  <mergeCells count="1">
    <mergeCell ref="A1:E1"/>
  </mergeCells>
  <printOptions gridLines="1"/>
  <pageMargins left="0.68" right="0.26" top="0.72" bottom="0.56" header="0.24" footer="0.56"/>
  <pageSetup horizontalDpi="180" verticalDpi="180" orientation="portrait" pageOrder="overThenDown" paperSize="9" scale="90"/>
  <headerFooter alignWithMargins="0">
    <oddHeader>&amp;R
&amp;D</oddHeader>
  </headerFooter>
  <drawing r:id="rId3"/>
  <legacyDrawing r:id="rId2"/>
</worksheet>
</file>

<file path=xl/worksheets/sheet8.xml><?xml version="1.0" encoding="utf-8"?>
<worksheet xmlns="http://schemas.openxmlformats.org/spreadsheetml/2006/main" xmlns:r="http://schemas.openxmlformats.org/officeDocument/2006/relationships">
  <sheetPr codeName="Foglio2">
    <tabColor indexed="10"/>
  </sheetPr>
  <dimension ref="A1:AV164"/>
  <sheetViews>
    <sheetView zoomScalePageLayoutView="0" workbookViewId="0" topLeftCell="A1">
      <pane xSplit="1" ySplit="3" topLeftCell="B127" activePane="bottomRight" state="frozen"/>
      <selection pane="topLeft" activeCell="A1" sqref="A1"/>
      <selection pane="topRight" activeCell="B1" sqref="B1"/>
      <selection pane="bottomLeft" activeCell="A4" sqref="A4"/>
      <selection pane="bottomRight" activeCell="C141" sqref="C141"/>
    </sheetView>
  </sheetViews>
  <sheetFormatPr defaultColWidth="9.140625" defaultRowHeight="12.75"/>
  <cols>
    <col min="1" max="1" width="19.421875" style="32" customWidth="1"/>
    <col min="2" max="2" width="9.00390625" style="32" customWidth="1"/>
    <col min="3" max="4" width="13.00390625" style="32" customWidth="1"/>
    <col min="5" max="5" width="15.28125" style="32" customWidth="1"/>
    <col min="6" max="6" width="13.28125" style="32" customWidth="1"/>
    <col min="7" max="9" width="10.28125" style="32" customWidth="1"/>
    <col min="10" max="12" width="9.28125" style="32" bestFit="1" customWidth="1"/>
    <col min="13" max="13" width="10.28125" style="32" customWidth="1"/>
    <col min="14" max="14" width="9.28125" style="32" bestFit="1" customWidth="1"/>
    <col min="15" max="15" width="10.28125" style="32" customWidth="1"/>
    <col min="16" max="17" width="9.28125" style="32" bestFit="1" customWidth="1"/>
    <col min="18" max="18" width="10.28125" style="32" customWidth="1"/>
    <col min="19" max="19" width="10.421875" style="32" bestFit="1" customWidth="1"/>
    <col min="20" max="21" width="10.28125" style="32" customWidth="1"/>
    <col min="22" max="22" width="9.28125" style="32" bestFit="1" customWidth="1"/>
    <col min="23" max="24" width="9.140625" style="32" customWidth="1"/>
    <col min="25" max="25" width="10.28125" style="32" customWidth="1"/>
    <col min="26" max="26" width="10.140625" style="32" customWidth="1"/>
    <col min="27" max="27" width="11.00390625" style="32" customWidth="1"/>
    <col min="28" max="28" width="10.28125" style="32" customWidth="1"/>
    <col min="29" max="16384" width="9.140625" style="32" customWidth="1"/>
  </cols>
  <sheetData>
    <row r="1" spans="1:48" ht="12">
      <c r="A1" s="32">
        <v>0</v>
      </c>
      <c r="B1" s="122">
        <v>0</v>
      </c>
      <c r="C1" s="24">
        <v>1</v>
      </c>
      <c r="D1" s="24">
        <v>2</v>
      </c>
      <c r="E1" s="24">
        <v>3</v>
      </c>
      <c r="F1" s="24">
        <v>4</v>
      </c>
      <c r="G1" s="24">
        <v>5</v>
      </c>
      <c r="H1" s="24">
        <v>6</v>
      </c>
      <c r="I1" s="24">
        <v>7</v>
      </c>
      <c r="J1" s="24">
        <v>8</v>
      </c>
      <c r="K1" s="24">
        <v>9</v>
      </c>
      <c r="L1" s="24">
        <v>10</v>
      </c>
      <c r="M1" s="24">
        <v>11</v>
      </c>
      <c r="N1" s="24">
        <v>12</v>
      </c>
      <c r="O1" s="24">
        <v>13</v>
      </c>
      <c r="P1" s="24">
        <v>14</v>
      </c>
      <c r="Q1" s="24">
        <v>15</v>
      </c>
      <c r="R1" s="24">
        <v>16</v>
      </c>
      <c r="S1" s="24">
        <v>17</v>
      </c>
      <c r="T1" s="24">
        <v>18</v>
      </c>
      <c r="U1" s="24">
        <v>19</v>
      </c>
      <c r="V1" s="24">
        <v>20</v>
      </c>
      <c r="W1" s="24">
        <v>21</v>
      </c>
      <c r="X1" s="24">
        <v>22</v>
      </c>
      <c r="Y1" s="24">
        <v>23</v>
      </c>
      <c r="Z1" s="24">
        <v>24</v>
      </c>
      <c r="AA1" s="24">
        <v>25</v>
      </c>
      <c r="AB1" s="24">
        <v>26</v>
      </c>
      <c r="AC1" s="122"/>
      <c r="AD1" s="122"/>
      <c r="AE1" s="122"/>
      <c r="AF1" s="122"/>
      <c r="AG1" s="122"/>
      <c r="AH1" s="122"/>
      <c r="AI1" s="122"/>
      <c r="AJ1" s="122"/>
      <c r="AK1" s="500"/>
      <c r="AL1" s="500"/>
      <c r="AM1" s="500"/>
      <c r="AN1" s="500"/>
      <c r="AO1" s="500"/>
      <c r="AP1" s="500"/>
      <c r="AQ1" s="122"/>
      <c r="AR1" s="122"/>
      <c r="AS1" s="122"/>
      <c r="AT1" s="122"/>
      <c r="AU1" s="122"/>
      <c r="AV1" s="122"/>
    </row>
    <row r="2" spans="1:42" ht="12">
      <c r="A2" s="32">
        <v>0</v>
      </c>
      <c r="B2" s="122">
        <v>0</v>
      </c>
      <c r="AK2" s="499"/>
      <c r="AL2" s="499"/>
      <c r="AM2" s="499"/>
      <c r="AN2" s="499"/>
      <c r="AO2" s="499"/>
      <c r="AP2" s="499"/>
    </row>
    <row r="3" spans="1:42" ht="15">
      <c r="A3" s="32">
        <v>0</v>
      </c>
      <c r="B3" s="122">
        <v>0</v>
      </c>
      <c r="C3" s="135" t="s">
        <v>255</v>
      </c>
      <c r="D3" s="135" t="s">
        <v>256</v>
      </c>
      <c r="E3" s="135" t="s">
        <v>257</v>
      </c>
      <c r="F3" s="135" t="s">
        <v>258</v>
      </c>
      <c r="G3" s="135" t="s">
        <v>259</v>
      </c>
      <c r="H3" s="135" t="s">
        <v>260</v>
      </c>
      <c r="I3" s="135" t="s">
        <v>261</v>
      </c>
      <c r="J3" s="135" t="s">
        <v>266</v>
      </c>
      <c r="K3" s="135" t="s">
        <v>267</v>
      </c>
      <c r="L3" s="135" t="s">
        <v>265</v>
      </c>
      <c r="M3" s="135" t="s">
        <v>262</v>
      </c>
      <c r="N3" s="135" t="s">
        <v>263</v>
      </c>
      <c r="O3" s="135" t="s">
        <v>264</v>
      </c>
      <c r="P3" s="135" t="s">
        <v>268</v>
      </c>
      <c r="Q3" s="135" t="s">
        <v>269</v>
      </c>
      <c r="R3" s="135" t="s">
        <v>270</v>
      </c>
      <c r="S3" s="135" t="s">
        <v>329</v>
      </c>
      <c r="T3" s="135" t="s">
        <v>271</v>
      </c>
      <c r="U3" s="135" t="s">
        <v>272</v>
      </c>
      <c r="V3" s="135" t="s">
        <v>273</v>
      </c>
      <c r="W3" s="135" t="s">
        <v>274</v>
      </c>
      <c r="X3" s="135" t="s">
        <v>275</v>
      </c>
      <c r="Y3" s="135" t="s">
        <v>330</v>
      </c>
      <c r="Z3" s="135" t="s">
        <v>276</v>
      </c>
      <c r="AA3" s="135" t="s">
        <v>277</v>
      </c>
      <c r="AB3" s="135" t="s">
        <v>278</v>
      </c>
      <c r="AK3" s="499"/>
      <c r="AL3" s="499"/>
      <c r="AM3" s="499"/>
      <c r="AN3" s="499"/>
      <c r="AO3" s="499"/>
      <c r="AP3" s="499"/>
    </row>
    <row r="4" spans="1:42" ht="12">
      <c r="A4" s="32">
        <v>0</v>
      </c>
      <c r="B4" s="122">
        <v>0</v>
      </c>
      <c r="C4" s="21"/>
      <c r="D4" s="21"/>
      <c r="E4" s="21"/>
      <c r="F4" s="21"/>
      <c r="G4" s="21"/>
      <c r="H4" s="21"/>
      <c r="I4" s="21"/>
      <c r="J4" s="21"/>
      <c r="K4" s="21"/>
      <c r="L4" s="21"/>
      <c r="M4" s="22" t="s">
        <v>317</v>
      </c>
      <c r="N4" s="21"/>
      <c r="O4" s="21"/>
      <c r="P4" s="21"/>
      <c r="Q4" s="21"/>
      <c r="R4" s="22" t="s">
        <v>317</v>
      </c>
      <c r="S4" s="21"/>
      <c r="T4" s="22" t="s">
        <v>317</v>
      </c>
      <c r="U4" s="21"/>
      <c r="V4" s="21"/>
      <c r="W4" s="21"/>
      <c r="X4" s="21"/>
      <c r="Y4" s="22" t="s">
        <v>317</v>
      </c>
      <c r="AK4" s="499"/>
      <c r="AL4" s="499"/>
      <c r="AM4" s="499"/>
      <c r="AN4" s="499"/>
      <c r="AO4" s="499"/>
      <c r="AP4" s="499"/>
    </row>
    <row r="5" spans="1:42" ht="15" customHeight="1">
      <c r="A5" s="32">
        <v>0</v>
      </c>
      <c r="B5" s="122">
        <v>0</v>
      </c>
      <c r="C5" s="21"/>
      <c r="D5" s="21"/>
      <c r="E5" s="21"/>
      <c r="F5" s="21"/>
      <c r="G5" s="21"/>
      <c r="H5" s="21"/>
      <c r="I5" s="21"/>
      <c r="J5" s="21"/>
      <c r="K5" s="21"/>
      <c r="L5" s="21"/>
      <c r="M5" s="22" t="s">
        <v>317</v>
      </c>
      <c r="N5" s="21"/>
      <c r="O5" s="21"/>
      <c r="P5" s="21"/>
      <c r="Q5" s="21"/>
      <c r="R5" s="22" t="s">
        <v>317</v>
      </c>
      <c r="S5" s="21"/>
      <c r="T5" s="22" t="s">
        <v>317</v>
      </c>
      <c r="U5" s="21"/>
      <c r="V5" s="21"/>
      <c r="W5" s="21"/>
      <c r="X5" s="21"/>
      <c r="Y5" s="22" t="s">
        <v>317</v>
      </c>
      <c r="AK5" s="499"/>
      <c r="AL5" s="499"/>
      <c r="AM5" s="499"/>
      <c r="AN5" s="499"/>
      <c r="AO5" s="499"/>
      <c r="AP5" s="499"/>
    </row>
    <row r="6" spans="1:42" ht="15">
      <c r="A6" s="429">
        <v>129.1142247723716</v>
      </c>
      <c r="B6" s="24">
        <v>1</v>
      </c>
      <c r="C6" s="21">
        <v>21.4626</v>
      </c>
      <c r="D6" s="21">
        <v>26.368299999999998</v>
      </c>
      <c r="E6" s="435">
        <v>30.966999999999995</v>
      </c>
      <c r="F6" s="21">
        <v>35.5666</v>
      </c>
      <c r="G6" s="21">
        <v>67.4538</v>
      </c>
      <c r="H6" s="21">
        <v>24.5287</v>
      </c>
      <c r="I6" s="21">
        <v>33.420300000000005</v>
      </c>
      <c r="J6" s="21">
        <v>38.326</v>
      </c>
      <c r="K6" s="21">
        <v>53.6565</v>
      </c>
      <c r="L6" s="21">
        <v>68.9869</v>
      </c>
      <c r="M6" s="21">
        <v>53.656499999999994</v>
      </c>
      <c r="N6" s="21">
        <v>57.4891</v>
      </c>
      <c r="O6" s="21">
        <v>76.6521</v>
      </c>
      <c r="P6" s="21">
        <v>45.9913</v>
      </c>
      <c r="Q6" s="21">
        <v>38.326</v>
      </c>
      <c r="R6" s="21">
        <v>30.660800000000002</v>
      </c>
      <c r="S6" s="21">
        <v>61.3217</v>
      </c>
      <c r="T6" s="21">
        <v>18.7031</v>
      </c>
      <c r="U6" s="21">
        <v>23.608800000000002</v>
      </c>
      <c r="V6" s="21">
        <v>21.4626</v>
      </c>
      <c r="W6" s="21">
        <v>24.5287</v>
      </c>
      <c r="X6" s="21">
        <v>26.3683</v>
      </c>
      <c r="Y6" s="21">
        <v>26.368299999999998</v>
      </c>
      <c r="Z6" s="21">
        <v>24.5287</v>
      </c>
      <c r="AA6" s="21">
        <v>30.9674</v>
      </c>
      <c r="AB6" s="21">
        <v>35.7505</v>
      </c>
      <c r="AC6" s="21">
        <v>0</v>
      </c>
      <c r="AK6" s="499"/>
      <c r="AL6" s="499"/>
      <c r="AM6" s="499"/>
      <c r="AN6" s="499"/>
      <c r="AO6" s="499"/>
      <c r="AP6" s="499"/>
    </row>
    <row r="7" spans="1:42" ht="15">
      <c r="A7" s="430">
        <v>258.2284495447432</v>
      </c>
      <c r="B7" s="24">
        <v>2</v>
      </c>
      <c r="C7" s="21">
        <v>19.9295</v>
      </c>
      <c r="D7" s="21">
        <v>24.988599999999998</v>
      </c>
      <c r="E7" s="435">
        <v>29.5877</v>
      </c>
      <c r="F7" s="21">
        <v>33.8802</v>
      </c>
      <c r="G7" s="21">
        <v>58.255599999999994</v>
      </c>
      <c r="H7" s="21">
        <v>22.9956</v>
      </c>
      <c r="I7" s="21">
        <v>32.1939</v>
      </c>
      <c r="J7" s="21">
        <v>30.6608</v>
      </c>
      <c r="K7" s="21">
        <v>42.9252</v>
      </c>
      <c r="L7" s="21">
        <v>55.1895</v>
      </c>
      <c r="M7" s="21">
        <v>42.9252</v>
      </c>
      <c r="N7" s="21">
        <v>45.9913</v>
      </c>
      <c r="O7" s="21">
        <v>61.3217</v>
      </c>
      <c r="P7" s="21">
        <v>36.793</v>
      </c>
      <c r="Q7" s="21">
        <v>30.6608</v>
      </c>
      <c r="R7" s="21">
        <v>24.528699999999997</v>
      </c>
      <c r="S7" s="21">
        <v>45.9913</v>
      </c>
      <c r="T7" s="21">
        <v>17.63</v>
      </c>
      <c r="U7" s="21">
        <v>22.689</v>
      </c>
      <c r="V7" s="21">
        <v>19.9295</v>
      </c>
      <c r="W7" s="21">
        <v>23.4555</v>
      </c>
      <c r="X7" s="21">
        <v>24.9886</v>
      </c>
      <c r="Y7" s="21">
        <v>24.988599999999998</v>
      </c>
      <c r="Z7" s="21">
        <v>23.4555</v>
      </c>
      <c r="AA7" s="21">
        <v>29.4344</v>
      </c>
      <c r="AB7" s="21">
        <v>33.8802</v>
      </c>
      <c r="AC7" s="21">
        <v>0</v>
      </c>
      <c r="AK7" s="499"/>
      <c r="AL7" s="499"/>
      <c r="AM7" s="499"/>
      <c r="AN7" s="499"/>
      <c r="AO7" s="499"/>
      <c r="AP7" s="499"/>
    </row>
    <row r="8" spans="1:42" ht="15">
      <c r="A8" s="430">
        <v>516.4568990894865</v>
      </c>
      <c r="B8" s="24">
        <v>3</v>
      </c>
      <c r="C8" s="21">
        <v>18.3965</v>
      </c>
      <c r="D8" s="21">
        <v>22.689</v>
      </c>
      <c r="E8" s="435">
        <v>27.4415</v>
      </c>
      <c r="F8" s="21">
        <v>31.734</v>
      </c>
      <c r="G8" s="21">
        <v>52.123400000000004</v>
      </c>
      <c r="H8" s="21">
        <v>22.0758</v>
      </c>
      <c r="I8" s="21">
        <v>29.740999999999996</v>
      </c>
      <c r="J8" s="21">
        <v>26.3683</v>
      </c>
      <c r="K8" s="21">
        <v>36.793</v>
      </c>
      <c r="L8" s="21">
        <v>49.0573</v>
      </c>
      <c r="M8" s="21">
        <v>36.793</v>
      </c>
      <c r="N8" s="21">
        <v>39.2459</v>
      </c>
      <c r="O8" s="21">
        <v>52.123400000000004</v>
      </c>
      <c r="P8" s="21">
        <v>30.6608</v>
      </c>
      <c r="Q8" s="21">
        <v>25.7551</v>
      </c>
      <c r="R8" s="21">
        <v>20.8494</v>
      </c>
      <c r="S8" s="21">
        <v>38.326</v>
      </c>
      <c r="T8" s="21">
        <v>15.790299999999998</v>
      </c>
      <c r="U8" s="21">
        <v>20.696099999999994</v>
      </c>
      <c r="V8" s="21">
        <v>17.7833</v>
      </c>
      <c r="W8" s="21">
        <v>19.9295</v>
      </c>
      <c r="X8" s="21">
        <v>22.689</v>
      </c>
      <c r="Y8" s="21">
        <v>22.689</v>
      </c>
      <c r="Z8" s="21">
        <v>19.9295</v>
      </c>
      <c r="AA8" s="21">
        <v>27.4415</v>
      </c>
      <c r="AB8" s="21">
        <v>31.734</v>
      </c>
      <c r="AC8" s="21">
        <v>0</v>
      </c>
      <c r="AK8" s="499"/>
      <c r="AL8" s="499"/>
      <c r="AM8" s="499"/>
      <c r="AN8" s="499"/>
      <c r="AO8" s="499"/>
      <c r="AP8" s="499"/>
    </row>
    <row r="9" spans="1:42" ht="15">
      <c r="A9" s="430">
        <v>1291.1422477237163</v>
      </c>
      <c r="B9" s="24">
        <v>4</v>
      </c>
      <c r="C9" s="21">
        <v>15.330400000000001</v>
      </c>
      <c r="D9" s="21">
        <v>18.8564</v>
      </c>
      <c r="E9" s="435">
        <v>23.608800000000002</v>
      </c>
      <c r="F9" s="21">
        <v>27.5948</v>
      </c>
      <c r="G9" s="21">
        <v>44.4582</v>
      </c>
      <c r="H9" s="21">
        <v>19.9295</v>
      </c>
      <c r="I9" s="21">
        <v>25.4485</v>
      </c>
      <c r="J9" s="21">
        <v>19.9295</v>
      </c>
      <c r="K9" s="21">
        <v>27.9014</v>
      </c>
      <c r="L9" s="21">
        <v>36.793</v>
      </c>
      <c r="M9" s="21">
        <v>27.901400000000002</v>
      </c>
      <c r="N9" s="21">
        <v>29.8943</v>
      </c>
      <c r="O9" s="21">
        <v>40.77890000000001</v>
      </c>
      <c r="P9" s="21">
        <v>23.9155</v>
      </c>
      <c r="Q9" s="21">
        <v>19.9295</v>
      </c>
      <c r="R9" s="21">
        <v>15.9436</v>
      </c>
      <c r="S9" s="21">
        <v>30.0476</v>
      </c>
      <c r="T9" s="21">
        <v>12.4176</v>
      </c>
      <c r="U9" s="21">
        <v>17.3234</v>
      </c>
      <c r="V9" s="21">
        <v>14.2573</v>
      </c>
      <c r="W9" s="21">
        <v>15.637</v>
      </c>
      <c r="X9" s="21">
        <v>18.8564</v>
      </c>
      <c r="Y9" s="21">
        <v>18.8564</v>
      </c>
      <c r="Z9" s="21">
        <v>15.637</v>
      </c>
      <c r="AA9" s="21">
        <v>22.9956</v>
      </c>
      <c r="AB9" s="21">
        <v>27.1348</v>
      </c>
      <c r="AC9" s="21">
        <v>0</v>
      </c>
      <c r="AK9" s="499"/>
      <c r="AL9" s="499"/>
      <c r="AM9" s="499"/>
      <c r="AN9" s="499"/>
      <c r="AO9" s="499"/>
      <c r="AP9" s="499"/>
    </row>
    <row r="10" spans="1:42" ht="15">
      <c r="A10" s="430">
        <v>2582.2844954474326</v>
      </c>
      <c r="B10" s="24">
        <v>5</v>
      </c>
      <c r="C10" s="21">
        <v>13.1842</v>
      </c>
      <c r="D10" s="21">
        <v>15.330400000000001</v>
      </c>
      <c r="E10" s="435">
        <v>19.9295</v>
      </c>
      <c r="F10" s="21">
        <v>24.528699999999997</v>
      </c>
      <c r="G10" s="21">
        <v>39.8591</v>
      </c>
      <c r="H10" s="21">
        <v>17.7833</v>
      </c>
      <c r="I10" s="21">
        <v>21.4626</v>
      </c>
      <c r="J10" s="21">
        <v>15.3304</v>
      </c>
      <c r="K10" s="21">
        <v>22.0758</v>
      </c>
      <c r="L10" s="21">
        <v>29.4344</v>
      </c>
      <c r="M10" s="21">
        <v>21.4626</v>
      </c>
      <c r="N10" s="21">
        <v>22.9956</v>
      </c>
      <c r="O10" s="21">
        <v>31.8873</v>
      </c>
      <c r="P10" s="21">
        <v>18.3965</v>
      </c>
      <c r="Q10" s="21">
        <v>15.3304</v>
      </c>
      <c r="R10" s="21">
        <v>12.264299999999999</v>
      </c>
      <c r="S10" s="21">
        <v>21.156</v>
      </c>
      <c r="T10" s="21">
        <v>10.271399999999998</v>
      </c>
      <c r="U10" s="21">
        <v>14.410599999999999</v>
      </c>
      <c r="V10" s="21">
        <v>11.0379</v>
      </c>
      <c r="W10" s="21">
        <v>13.4908</v>
      </c>
      <c r="X10" s="21">
        <v>15.9436</v>
      </c>
      <c r="Y10" s="21">
        <v>15.177100000000001</v>
      </c>
      <c r="Z10" s="21">
        <v>12.2643</v>
      </c>
      <c r="AA10" s="21">
        <v>19.0097</v>
      </c>
      <c r="AB10" s="21">
        <v>22.689</v>
      </c>
      <c r="AC10" s="21">
        <v>0</v>
      </c>
      <c r="AK10" s="499"/>
      <c r="AL10" s="499"/>
      <c r="AM10" s="499"/>
      <c r="AN10" s="499"/>
      <c r="AO10" s="499"/>
      <c r="AP10" s="499"/>
    </row>
    <row r="11" spans="1:42" ht="15">
      <c r="A11" s="430">
        <v>5164.568990894865</v>
      </c>
      <c r="B11" s="24">
        <v>6</v>
      </c>
      <c r="C11" s="21">
        <v>11.037899999999999</v>
      </c>
      <c r="D11" s="21">
        <v>13.1842</v>
      </c>
      <c r="E11" s="435">
        <v>17.170099999999998</v>
      </c>
      <c r="F11" s="21">
        <v>22.075799999999997</v>
      </c>
      <c r="G11" s="21">
        <v>35.26</v>
      </c>
      <c r="H11" s="21">
        <v>15.637</v>
      </c>
      <c r="I11" s="21">
        <v>18.3965</v>
      </c>
      <c r="J11" s="21">
        <v>12.2643</v>
      </c>
      <c r="K11" s="21">
        <v>17.1701</v>
      </c>
      <c r="L11" s="21">
        <v>22.689</v>
      </c>
      <c r="M11" s="21">
        <v>17.170099999999998</v>
      </c>
      <c r="N11" s="21">
        <v>18.3965</v>
      </c>
      <c r="O11" s="21">
        <v>24.528699999999997</v>
      </c>
      <c r="P11" s="21">
        <v>14.7172</v>
      </c>
      <c r="Q11" s="21">
        <v>12.2643</v>
      </c>
      <c r="R11" s="21">
        <v>9.811499999999999</v>
      </c>
      <c r="S11" s="21">
        <v>15.3304</v>
      </c>
      <c r="T11" s="21">
        <v>9.1983</v>
      </c>
      <c r="U11" s="21">
        <v>13.3375</v>
      </c>
      <c r="V11" s="21">
        <v>9.1983</v>
      </c>
      <c r="W11" s="21">
        <v>10.4247</v>
      </c>
      <c r="X11" s="21">
        <v>13.1842</v>
      </c>
      <c r="Y11" s="21">
        <v>13.1842</v>
      </c>
      <c r="Z11" s="21">
        <v>10.2714</v>
      </c>
      <c r="AA11" s="21">
        <v>17.1701</v>
      </c>
      <c r="AB11" s="21">
        <v>20.2362</v>
      </c>
      <c r="AC11" s="21">
        <v>0</v>
      </c>
      <c r="AK11" s="499"/>
      <c r="AL11" s="499"/>
      <c r="AM11" s="499"/>
      <c r="AN11" s="499"/>
      <c r="AO11" s="499"/>
      <c r="AP11" s="499"/>
    </row>
    <row r="12" spans="1:42" ht="15">
      <c r="A12" s="430">
        <v>7746.853486342297</v>
      </c>
      <c r="B12" s="24">
        <v>7</v>
      </c>
      <c r="C12" s="21">
        <v>10.7313</v>
      </c>
      <c r="D12" s="21">
        <v>13.030899999999999</v>
      </c>
      <c r="E12" s="435">
        <v>16.8635</v>
      </c>
      <c r="F12" s="21">
        <v>21.4626</v>
      </c>
      <c r="G12" s="21">
        <v>32.1939</v>
      </c>
      <c r="H12" s="21">
        <v>14.563899999999999</v>
      </c>
      <c r="I12" s="21">
        <v>16.8635</v>
      </c>
      <c r="J12" s="21">
        <v>11.4978</v>
      </c>
      <c r="K12" s="21">
        <v>16.0969</v>
      </c>
      <c r="L12" s="21">
        <v>20.6961</v>
      </c>
      <c r="M12" s="21">
        <v>16.096899999999998</v>
      </c>
      <c r="N12" s="21">
        <v>17.3234</v>
      </c>
      <c r="O12" s="21">
        <v>23.302200000000003</v>
      </c>
      <c r="P12" s="21">
        <v>13.7974</v>
      </c>
      <c r="Q12" s="21">
        <v>11.4978</v>
      </c>
      <c r="R12" s="21">
        <v>9.1983</v>
      </c>
      <c r="S12" s="21">
        <v>12.8776</v>
      </c>
      <c r="T12" s="21">
        <v>8.738299999999999</v>
      </c>
      <c r="U12" s="21">
        <v>12.7242</v>
      </c>
      <c r="V12" s="21">
        <v>8.7383</v>
      </c>
      <c r="W12" s="21">
        <v>9.6582</v>
      </c>
      <c r="X12" s="21">
        <v>12.5709</v>
      </c>
      <c r="Y12" s="21">
        <v>12.570899999999998</v>
      </c>
      <c r="Z12" s="21">
        <v>9.6582</v>
      </c>
      <c r="AA12" s="21">
        <v>15.637</v>
      </c>
      <c r="AB12" s="21">
        <v>19.3163</v>
      </c>
      <c r="AC12" s="21">
        <v>0</v>
      </c>
      <c r="AK12" s="499"/>
      <c r="AL12" s="499"/>
      <c r="AM12" s="499"/>
      <c r="AN12" s="499"/>
      <c r="AO12" s="499"/>
      <c r="AP12" s="499"/>
    </row>
    <row r="13" spans="1:42" ht="15">
      <c r="A13" s="430">
        <v>10329.13798178973</v>
      </c>
      <c r="B13" s="24">
        <v>8</v>
      </c>
      <c r="C13" s="21">
        <v>9.9648</v>
      </c>
      <c r="D13" s="21">
        <v>12.7242</v>
      </c>
      <c r="E13" s="435">
        <v>16.096899999999998</v>
      </c>
      <c r="F13" s="21">
        <v>20.696099999999994</v>
      </c>
      <c r="G13" s="21">
        <v>30.660800000000002</v>
      </c>
      <c r="H13" s="21">
        <v>13.7974</v>
      </c>
      <c r="I13" s="21">
        <v>16.096899999999998</v>
      </c>
      <c r="J13" s="21">
        <v>10.7313</v>
      </c>
      <c r="K13" s="21">
        <v>15.0238</v>
      </c>
      <c r="L13" s="21">
        <v>19.3163</v>
      </c>
      <c r="M13" s="21">
        <v>15.0238</v>
      </c>
      <c r="N13" s="21">
        <v>16.0969</v>
      </c>
      <c r="O13" s="21">
        <v>21.4626</v>
      </c>
      <c r="P13" s="21">
        <v>12.8776</v>
      </c>
      <c r="Q13" s="21">
        <v>10.7313</v>
      </c>
      <c r="R13" s="21">
        <v>8.585</v>
      </c>
      <c r="S13" s="21">
        <v>12.2643</v>
      </c>
      <c r="T13" s="21">
        <v>8.431700000000001</v>
      </c>
      <c r="U13" s="21">
        <v>12.264299999999999</v>
      </c>
      <c r="V13" s="21">
        <v>8.4317</v>
      </c>
      <c r="W13" s="21">
        <v>9.1983</v>
      </c>
      <c r="X13" s="21">
        <v>11.9577</v>
      </c>
      <c r="Y13" s="21">
        <v>11.957699999999999</v>
      </c>
      <c r="Z13" s="21">
        <v>9.1983</v>
      </c>
      <c r="AA13" s="21">
        <v>15.3304</v>
      </c>
      <c r="AB13" s="21">
        <v>18.7031</v>
      </c>
      <c r="AC13" s="21">
        <v>0</v>
      </c>
      <c r="AK13" s="499"/>
      <c r="AL13" s="499"/>
      <c r="AM13" s="499"/>
      <c r="AN13" s="499"/>
      <c r="AO13" s="499"/>
      <c r="AP13" s="499"/>
    </row>
    <row r="14" spans="1:42" ht="15">
      <c r="A14" s="430">
        <v>15493.706972684595</v>
      </c>
      <c r="B14" s="24">
        <v>9</v>
      </c>
      <c r="C14" s="21">
        <v>9.6582</v>
      </c>
      <c r="D14" s="21">
        <v>12.264299999999999</v>
      </c>
      <c r="E14" s="435">
        <v>15.330400000000001</v>
      </c>
      <c r="F14" s="21">
        <v>19.3163</v>
      </c>
      <c r="G14" s="21">
        <v>27.5948</v>
      </c>
      <c r="H14" s="21">
        <v>13.030899999999999</v>
      </c>
      <c r="I14" s="21">
        <v>15.330400000000001</v>
      </c>
      <c r="J14" s="21">
        <v>9.9648</v>
      </c>
      <c r="K14" s="21">
        <v>13.9507</v>
      </c>
      <c r="L14" s="21">
        <v>17.9366</v>
      </c>
      <c r="M14" s="21">
        <v>13.950700000000001</v>
      </c>
      <c r="N14" s="21">
        <v>15.0238</v>
      </c>
      <c r="O14" s="21">
        <v>19.9295</v>
      </c>
      <c r="P14" s="21">
        <v>11.9577</v>
      </c>
      <c r="Q14" s="21">
        <v>9.9648</v>
      </c>
      <c r="R14" s="21">
        <v>7.9718</v>
      </c>
      <c r="S14" s="21">
        <v>11.3445</v>
      </c>
      <c r="T14" s="21">
        <v>7.6652000000000005</v>
      </c>
      <c r="U14" s="21">
        <v>11.651100000000001</v>
      </c>
      <c r="V14" s="21">
        <v>7.6652</v>
      </c>
      <c r="W14" s="21">
        <v>8.585</v>
      </c>
      <c r="X14" s="21">
        <v>10.8846</v>
      </c>
      <c r="Y14" s="21">
        <v>10.8846</v>
      </c>
      <c r="Z14" s="21">
        <v>8.585</v>
      </c>
      <c r="AA14" s="21">
        <v>14.7172</v>
      </c>
      <c r="AB14" s="21">
        <v>17.4767</v>
      </c>
      <c r="AC14" s="21">
        <v>0</v>
      </c>
      <c r="AK14" s="499"/>
      <c r="AL14" s="499"/>
      <c r="AM14" s="499"/>
      <c r="AN14" s="499"/>
      <c r="AO14" s="499"/>
      <c r="AP14" s="499"/>
    </row>
    <row r="15" spans="1:42" ht="15">
      <c r="A15" s="430">
        <v>20658.27596357946</v>
      </c>
      <c r="B15" s="24">
        <v>10</v>
      </c>
      <c r="C15" s="21">
        <v>9.1983</v>
      </c>
      <c r="D15" s="21">
        <v>11.4978</v>
      </c>
      <c r="E15" s="435">
        <v>14.563899999999999</v>
      </c>
      <c r="F15" s="21">
        <v>19.009700000000002</v>
      </c>
      <c r="G15" s="21">
        <v>26.061700000000002</v>
      </c>
      <c r="H15" s="21">
        <v>12.264299999999999</v>
      </c>
      <c r="I15" s="21">
        <v>14.563899999999999</v>
      </c>
      <c r="J15" s="21">
        <v>9.1983</v>
      </c>
      <c r="K15" s="21">
        <v>12.8776</v>
      </c>
      <c r="L15" s="21">
        <v>16.5569</v>
      </c>
      <c r="M15" s="21">
        <v>12.877600000000001</v>
      </c>
      <c r="N15" s="21">
        <v>13.7974</v>
      </c>
      <c r="O15" s="21">
        <v>18.3965</v>
      </c>
      <c r="P15" s="21">
        <v>11.0379</v>
      </c>
      <c r="Q15" s="21">
        <v>9.1983</v>
      </c>
      <c r="R15" s="21">
        <v>7.3586</v>
      </c>
      <c r="S15" s="194">
        <v>11.3445</v>
      </c>
      <c r="T15" s="21">
        <v>6.8987</v>
      </c>
      <c r="U15" s="21">
        <v>11.037899999999999</v>
      </c>
      <c r="V15" s="21">
        <v>6.8987</v>
      </c>
      <c r="W15" s="21">
        <v>7.9718</v>
      </c>
      <c r="X15" s="21">
        <v>9.9648</v>
      </c>
      <c r="Y15" s="21">
        <v>9.9648</v>
      </c>
      <c r="Z15" s="21">
        <v>7.9718</v>
      </c>
      <c r="AA15" s="21">
        <v>14.104</v>
      </c>
      <c r="AB15" s="21">
        <v>16.4035</v>
      </c>
      <c r="AC15" s="21">
        <v>0</v>
      </c>
      <c r="AK15" s="499"/>
      <c r="AL15" s="499"/>
      <c r="AM15" s="499"/>
      <c r="AN15" s="499"/>
      <c r="AO15" s="499"/>
      <c r="AP15" s="499"/>
    </row>
    <row r="16" spans="1:42" ht="15">
      <c r="A16" s="430">
        <v>25822.844954474323</v>
      </c>
      <c r="B16" s="24">
        <v>11</v>
      </c>
      <c r="C16" s="21">
        <v>8.8916</v>
      </c>
      <c r="D16" s="21">
        <v>10.7313</v>
      </c>
      <c r="E16" s="435">
        <v>13.7974</v>
      </c>
      <c r="F16" s="21">
        <v>18.3965</v>
      </c>
      <c r="G16" s="21">
        <v>24.528699999999997</v>
      </c>
      <c r="H16" s="21">
        <v>11.4978</v>
      </c>
      <c r="I16" s="21">
        <v>13.7974</v>
      </c>
      <c r="J16" s="21">
        <v>8.7383</v>
      </c>
      <c r="K16" s="21">
        <v>12.2643</v>
      </c>
      <c r="L16" s="21">
        <v>15.7903</v>
      </c>
      <c r="M16" s="21">
        <v>12.264299999999999</v>
      </c>
      <c r="N16" s="21">
        <v>13.1842</v>
      </c>
      <c r="O16" s="21">
        <v>17.4767</v>
      </c>
      <c r="P16" s="21">
        <v>10.4247</v>
      </c>
      <c r="Q16" s="21">
        <v>8.7383</v>
      </c>
      <c r="R16" s="21">
        <v>7.052000000000001</v>
      </c>
      <c r="S16" s="21">
        <v>9.5049</v>
      </c>
      <c r="T16" s="21">
        <v>6.1322</v>
      </c>
      <c r="U16" s="21">
        <v>10.4247</v>
      </c>
      <c r="V16" s="21">
        <v>6.1322</v>
      </c>
      <c r="W16" s="21">
        <v>7.3586</v>
      </c>
      <c r="X16" s="21">
        <v>9.1983</v>
      </c>
      <c r="Y16" s="21">
        <v>9.1983</v>
      </c>
      <c r="Z16" s="21">
        <v>7.3586</v>
      </c>
      <c r="AA16" s="21">
        <v>13.4908</v>
      </c>
      <c r="AB16" s="21">
        <v>15.3304</v>
      </c>
      <c r="AC16" s="21">
        <v>0</v>
      </c>
      <c r="AK16" s="499"/>
      <c r="AL16" s="499"/>
      <c r="AM16" s="499"/>
      <c r="AN16" s="499"/>
      <c r="AO16" s="499"/>
      <c r="AP16" s="499"/>
    </row>
    <row r="17" spans="1:42" ht="15">
      <c r="A17" s="429">
        <v>51645.68990894865</v>
      </c>
      <c r="B17" s="24">
        <v>12</v>
      </c>
      <c r="C17" s="21">
        <v>7.6652000000000005</v>
      </c>
      <c r="D17" s="21">
        <v>9.1983</v>
      </c>
      <c r="E17" s="435">
        <v>12.264299999999999</v>
      </c>
      <c r="F17" s="21">
        <v>15.330400000000001</v>
      </c>
      <c r="G17" s="21">
        <v>21.4626</v>
      </c>
      <c r="H17" s="21">
        <v>9.9648</v>
      </c>
      <c r="I17" s="21">
        <v>12.264299999999999</v>
      </c>
      <c r="J17" s="21">
        <v>7.6652</v>
      </c>
      <c r="K17" s="21">
        <v>9.1983</v>
      </c>
      <c r="L17" s="21">
        <v>13.7974</v>
      </c>
      <c r="M17" s="21">
        <v>10.7313</v>
      </c>
      <c r="N17" s="21">
        <v>11.4978</v>
      </c>
      <c r="O17" s="21">
        <v>15.330400000000001</v>
      </c>
      <c r="P17" s="21">
        <v>9.1983</v>
      </c>
      <c r="Q17" s="21">
        <v>7.6652</v>
      </c>
      <c r="R17" s="21">
        <v>6.1322</v>
      </c>
      <c r="S17" s="21">
        <v>6.8987</v>
      </c>
      <c r="T17" s="21">
        <v>4.5991</v>
      </c>
      <c r="U17" s="21">
        <v>8.431700000000001</v>
      </c>
      <c r="V17" s="21">
        <v>4.5991</v>
      </c>
      <c r="W17" s="21">
        <v>5.3656</v>
      </c>
      <c r="X17" s="21">
        <v>6.1322</v>
      </c>
      <c r="Y17" s="21">
        <v>7.6652000000000005</v>
      </c>
      <c r="Z17" s="21">
        <v>5.8256</v>
      </c>
      <c r="AA17" s="21">
        <v>10.4247</v>
      </c>
      <c r="AB17" s="21">
        <v>12.2643</v>
      </c>
      <c r="AC17" s="21">
        <v>0</v>
      </c>
      <c r="AK17" s="499"/>
      <c r="AL17" s="499"/>
      <c r="AM17" s="499"/>
      <c r="AN17" s="499"/>
      <c r="AO17" s="499"/>
      <c r="AP17" s="499"/>
    </row>
    <row r="18" spans="1:42" ht="15">
      <c r="A18" s="430">
        <v>77468.53486342297</v>
      </c>
      <c r="B18" s="24">
        <v>13</v>
      </c>
      <c r="C18" s="21">
        <v>6.745399999999999</v>
      </c>
      <c r="D18" s="21">
        <v>7.9718</v>
      </c>
      <c r="E18" s="435">
        <v>11.037899999999999</v>
      </c>
      <c r="F18" s="21">
        <v>13.3375</v>
      </c>
      <c r="G18" s="21">
        <v>19.009700000000002</v>
      </c>
      <c r="H18" s="21">
        <v>8.738299999999999</v>
      </c>
      <c r="I18" s="21">
        <v>11.037899999999999</v>
      </c>
      <c r="J18" s="21">
        <v>6.7454</v>
      </c>
      <c r="K18" s="21">
        <v>7.6652</v>
      </c>
      <c r="L18" s="21">
        <v>11.9577</v>
      </c>
      <c r="M18" s="21">
        <v>9.351600000000001</v>
      </c>
      <c r="N18" s="21">
        <v>9.9648</v>
      </c>
      <c r="O18" s="21">
        <v>13.490799999999998</v>
      </c>
      <c r="P18" s="21">
        <v>8.4317</v>
      </c>
      <c r="Q18" s="21">
        <v>6.7454</v>
      </c>
      <c r="R18" s="21">
        <v>5.519</v>
      </c>
      <c r="S18" s="194">
        <v>6.8987</v>
      </c>
      <c r="T18" s="21">
        <v>4.2925</v>
      </c>
      <c r="U18" s="21">
        <v>7.6652000000000005</v>
      </c>
      <c r="V18" s="21">
        <v>4.2925</v>
      </c>
      <c r="W18" s="194">
        <v>5.3656</v>
      </c>
      <c r="X18" s="194">
        <v>6.1322</v>
      </c>
      <c r="Y18" s="21">
        <v>6.4388000000000005</v>
      </c>
      <c r="Z18" s="21">
        <v>5.2123</v>
      </c>
      <c r="AA18" s="21">
        <v>8.8916</v>
      </c>
      <c r="AB18" s="21">
        <v>10.2714</v>
      </c>
      <c r="AC18" s="21">
        <v>0</v>
      </c>
      <c r="AK18" s="499"/>
      <c r="AL18" s="499"/>
      <c r="AM18" s="499"/>
      <c r="AN18" s="499"/>
      <c r="AO18" s="499"/>
      <c r="AP18" s="499"/>
    </row>
    <row r="19" spans="1:42" ht="15">
      <c r="A19" s="430">
        <v>103291.3798178973</v>
      </c>
      <c r="B19" s="24">
        <v>14</v>
      </c>
      <c r="C19" s="21">
        <v>6.1322</v>
      </c>
      <c r="D19" s="21">
        <v>7.3586</v>
      </c>
      <c r="E19" s="435">
        <v>9.9648</v>
      </c>
      <c r="F19" s="21">
        <v>11.804400000000001</v>
      </c>
      <c r="G19" s="21">
        <v>16.8635</v>
      </c>
      <c r="H19" s="21">
        <v>7.8185</v>
      </c>
      <c r="I19" s="21">
        <v>9.9648</v>
      </c>
      <c r="J19" s="21">
        <v>5.9789</v>
      </c>
      <c r="K19" s="21">
        <v>6.4388</v>
      </c>
      <c r="L19" s="21">
        <v>10.1181</v>
      </c>
      <c r="M19" s="21">
        <v>8.1251</v>
      </c>
      <c r="N19" s="21">
        <v>8.7383</v>
      </c>
      <c r="O19" s="21">
        <v>11.957699999999999</v>
      </c>
      <c r="P19" s="21">
        <v>7.8185</v>
      </c>
      <c r="Q19" s="21">
        <v>6.1322</v>
      </c>
      <c r="R19" s="21">
        <v>5.058999999999999</v>
      </c>
      <c r="S19" s="21">
        <v>4.5991</v>
      </c>
      <c r="T19" s="21">
        <v>4.1392</v>
      </c>
      <c r="U19" s="21">
        <v>7.3586</v>
      </c>
      <c r="V19" s="21">
        <v>4.1392</v>
      </c>
      <c r="W19" s="194">
        <v>5.3656</v>
      </c>
      <c r="X19" s="194">
        <v>6.1322</v>
      </c>
      <c r="Y19" s="21">
        <v>6.1322</v>
      </c>
      <c r="Z19" s="21">
        <v>4.9057</v>
      </c>
      <c r="AA19" s="21">
        <v>8.2784</v>
      </c>
      <c r="AB19" s="21">
        <v>9.6582</v>
      </c>
      <c r="AC19" s="21">
        <v>0</v>
      </c>
      <c r="AK19" s="499"/>
      <c r="AL19" s="499"/>
      <c r="AM19" s="499"/>
      <c r="AN19" s="499"/>
      <c r="AO19" s="499"/>
      <c r="AP19" s="499"/>
    </row>
    <row r="20" spans="1:42" ht="15">
      <c r="A20" s="430">
        <v>129114.22477237163</v>
      </c>
      <c r="B20" s="24">
        <v>15</v>
      </c>
      <c r="C20" s="21">
        <v>5.8256000000000006</v>
      </c>
      <c r="D20" s="21">
        <v>6.745399999999999</v>
      </c>
      <c r="E20" s="435">
        <v>9.0449</v>
      </c>
      <c r="F20" s="21">
        <v>10.578</v>
      </c>
      <c r="G20" s="21">
        <v>15.0238</v>
      </c>
      <c r="H20" s="21">
        <v>7.205299999999999</v>
      </c>
      <c r="I20" s="21">
        <v>9.0449</v>
      </c>
      <c r="J20" s="21">
        <v>5.3656</v>
      </c>
      <c r="K20" s="21">
        <v>6.2855</v>
      </c>
      <c r="L20" s="21">
        <v>8.585</v>
      </c>
      <c r="M20" s="21">
        <v>7.205299999999999</v>
      </c>
      <c r="N20" s="21">
        <v>7.8185</v>
      </c>
      <c r="O20" s="21">
        <v>10.7313</v>
      </c>
      <c r="P20" s="21">
        <v>7.3586</v>
      </c>
      <c r="Q20" s="21">
        <v>5.8256</v>
      </c>
      <c r="R20" s="21">
        <v>4.7524</v>
      </c>
      <c r="S20" s="194">
        <v>4.5991</v>
      </c>
      <c r="T20" s="21">
        <v>3.9859</v>
      </c>
      <c r="U20" s="21">
        <v>7.052000000000001</v>
      </c>
      <c r="V20" s="21">
        <v>3.9859</v>
      </c>
      <c r="W20" s="194">
        <v>5.3656</v>
      </c>
      <c r="X20" s="194">
        <v>6.1322</v>
      </c>
      <c r="Y20" s="21">
        <v>5.8256000000000006</v>
      </c>
      <c r="Z20" s="21">
        <v>4.5991</v>
      </c>
      <c r="AA20" s="21">
        <v>7.8185</v>
      </c>
      <c r="AB20" s="21">
        <v>9.0449</v>
      </c>
      <c r="AC20" s="21">
        <v>0</v>
      </c>
      <c r="AK20" s="499"/>
      <c r="AL20" s="499"/>
      <c r="AM20" s="499"/>
      <c r="AN20" s="499"/>
      <c r="AO20" s="499"/>
      <c r="AP20" s="499"/>
    </row>
    <row r="21" spans="1:42" ht="15">
      <c r="A21" s="430">
        <v>154937.06972684595</v>
      </c>
      <c r="B21" s="24">
        <v>16</v>
      </c>
      <c r="C21" s="21">
        <v>5.519</v>
      </c>
      <c r="D21" s="21">
        <v>6.4388000000000005</v>
      </c>
      <c r="E21" s="435">
        <v>8.2784</v>
      </c>
      <c r="F21" s="21">
        <v>9.6582</v>
      </c>
      <c r="G21" s="21">
        <v>13.490799999999998</v>
      </c>
      <c r="H21" s="21">
        <v>6.5921</v>
      </c>
      <c r="I21" s="21">
        <v>8.2784</v>
      </c>
      <c r="J21" s="21">
        <v>4.9057</v>
      </c>
      <c r="K21" s="21">
        <v>5.6723</v>
      </c>
      <c r="L21" s="21">
        <v>7.3586</v>
      </c>
      <c r="M21" s="21">
        <v>6.5921</v>
      </c>
      <c r="N21" s="21">
        <v>7.2053</v>
      </c>
      <c r="O21" s="21">
        <v>9.811499999999999</v>
      </c>
      <c r="P21" s="21">
        <v>7.052</v>
      </c>
      <c r="Q21" s="21">
        <v>5.519</v>
      </c>
      <c r="R21" s="21">
        <v>4.4458</v>
      </c>
      <c r="S21" s="194">
        <v>4.5991</v>
      </c>
      <c r="T21" s="21">
        <v>3.8326000000000002</v>
      </c>
      <c r="U21" s="21">
        <v>6.7554</v>
      </c>
      <c r="V21" s="21">
        <v>3.8326</v>
      </c>
      <c r="W21" s="21">
        <v>4.5991</v>
      </c>
      <c r="X21" s="21">
        <v>5.2123</v>
      </c>
      <c r="Y21" s="21">
        <v>5.519</v>
      </c>
      <c r="Z21" s="21">
        <v>4.2925</v>
      </c>
      <c r="AA21" s="21">
        <v>7.3586</v>
      </c>
      <c r="AB21" s="21">
        <v>8.7383</v>
      </c>
      <c r="AC21" s="21">
        <v>0</v>
      </c>
      <c r="AK21" s="499"/>
      <c r="AL21" s="499"/>
      <c r="AM21" s="499"/>
      <c r="AN21" s="499"/>
      <c r="AO21" s="499"/>
      <c r="AP21" s="499"/>
    </row>
    <row r="22" spans="1:42" ht="15">
      <c r="A22" s="430">
        <v>206582.7596357946</v>
      </c>
      <c r="B22" s="24">
        <v>17</v>
      </c>
      <c r="C22" s="21">
        <v>5.212300000000001</v>
      </c>
      <c r="D22" s="21">
        <v>6.1322</v>
      </c>
      <c r="E22" s="435">
        <v>7.2053</v>
      </c>
      <c r="F22" s="21">
        <v>8.585</v>
      </c>
      <c r="G22" s="21">
        <v>11.651100000000001</v>
      </c>
      <c r="H22" s="21">
        <v>5.9789</v>
      </c>
      <c r="I22" s="21">
        <v>7.052000000000001</v>
      </c>
      <c r="J22" s="21">
        <v>4.2925</v>
      </c>
      <c r="K22" s="21">
        <v>4.9057</v>
      </c>
      <c r="L22" s="21">
        <v>6.1322</v>
      </c>
      <c r="M22" s="21">
        <v>5.6723</v>
      </c>
      <c r="N22" s="21">
        <v>6.2855</v>
      </c>
      <c r="O22" s="21">
        <v>8.585</v>
      </c>
      <c r="P22" s="21">
        <v>6.7454</v>
      </c>
      <c r="Q22" s="21">
        <v>5.2123</v>
      </c>
      <c r="R22" s="21">
        <v>4.2925</v>
      </c>
      <c r="S22" s="194">
        <v>4.5991</v>
      </c>
      <c r="T22" s="21">
        <v>3.6793</v>
      </c>
      <c r="U22" s="21">
        <v>6.4388000000000005</v>
      </c>
      <c r="V22" s="21">
        <v>3.6793</v>
      </c>
      <c r="W22" s="194">
        <v>4.5991</v>
      </c>
      <c r="X22" s="194">
        <v>5.2123</v>
      </c>
      <c r="Y22" s="21">
        <v>5.212300000000001</v>
      </c>
      <c r="Z22" s="21">
        <v>3.9859</v>
      </c>
      <c r="AA22" s="21">
        <v>7.052</v>
      </c>
      <c r="AB22" s="21">
        <v>8.4317</v>
      </c>
      <c r="AC22" s="21">
        <v>0</v>
      </c>
      <c r="AK22" s="499"/>
      <c r="AL22" s="499"/>
      <c r="AM22" s="499"/>
      <c r="AN22" s="499"/>
      <c r="AO22" s="499"/>
      <c r="AP22" s="499"/>
    </row>
    <row r="23" spans="1:42" ht="15">
      <c r="A23" s="429">
        <v>258228.44954474326</v>
      </c>
      <c r="B23" s="24">
        <v>18</v>
      </c>
      <c r="C23" s="21">
        <v>5.058999999999999</v>
      </c>
      <c r="D23" s="21">
        <v>5.8256000000000006</v>
      </c>
      <c r="E23" s="435">
        <v>6.4388000000000005</v>
      </c>
      <c r="F23" s="21">
        <v>7.9718</v>
      </c>
      <c r="G23" s="21">
        <v>10.4247</v>
      </c>
      <c r="H23" s="21">
        <v>5.519</v>
      </c>
      <c r="I23" s="21">
        <v>6.4388000000000005</v>
      </c>
      <c r="J23" s="21">
        <v>3.8326</v>
      </c>
      <c r="K23" s="21">
        <v>4.5991</v>
      </c>
      <c r="L23" s="21">
        <v>5.2123</v>
      </c>
      <c r="M23" s="21">
        <v>5.058999999999999</v>
      </c>
      <c r="N23" s="21">
        <v>5.6723</v>
      </c>
      <c r="O23" s="21">
        <v>7.6652000000000005</v>
      </c>
      <c r="P23" s="21">
        <v>6.4388</v>
      </c>
      <c r="Q23" s="21">
        <v>4.9057</v>
      </c>
      <c r="R23" s="21">
        <v>4.1392</v>
      </c>
      <c r="S23" s="194">
        <v>4.5991</v>
      </c>
      <c r="T23" s="21">
        <v>3.5260000000000007</v>
      </c>
      <c r="U23" s="21">
        <v>6.1322</v>
      </c>
      <c r="V23" s="21">
        <v>3.526</v>
      </c>
      <c r="W23" s="21">
        <v>4.4458</v>
      </c>
      <c r="X23" s="21">
        <v>5.059</v>
      </c>
      <c r="Y23" s="21">
        <v>5.058999999999999</v>
      </c>
      <c r="Z23" s="21">
        <v>3.6793</v>
      </c>
      <c r="AA23" s="21">
        <v>6.7454</v>
      </c>
      <c r="AB23" s="21">
        <v>8.1251</v>
      </c>
      <c r="AC23" s="21">
        <v>0</v>
      </c>
      <c r="AK23" s="499"/>
      <c r="AL23" s="499"/>
      <c r="AM23" s="499"/>
      <c r="AN23" s="499"/>
      <c r="AO23" s="499"/>
      <c r="AP23" s="499"/>
    </row>
    <row r="24" spans="1:42" ht="15">
      <c r="A24" s="430">
        <v>309874.1394536919</v>
      </c>
      <c r="B24" s="24">
        <v>19</v>
      </c>
      <c r="C24" s="21">
        <v>4.8335</v>
      </c>
      <c r="D24" s="21">
        <v>5.799300000000001</v>
      </c>
      <c r="E24" s="435">
        <v>6.1628</v>
      </c>
      <c r="F24" s="21">
        <v>7.619199999999999</v>
      </c>
      <c r="G24" s="21">
        <v>9.9648</v>
      </c>
      <c r="H24" s="21">
        <v>5.2737</v>
      </c>
      <c r="I24" s="21">
        <v>6.1563</v>
      </c>
      <c r="J24" s="21">
        <v>3.664</v>
      </c>
      <c r="K24" s="21">
        <v>4.3955</v>
      </c>
      <c r="L24" s="21">
        <v>4.9824</v>
      </c>
      <c r="M24" s="21">
        <v>4.8335</v>
      </c>
      <c r="N24" s="21">
        <v>5.4226</v>
      </c>
      <c r="O24" s="21">
        <v>7.3279</v>
      </c>
      <c r="P24" s="21">
        <v>6.1563</v>
      </c>
      <c r="Q24" s="21">
        <v>4.6911</v>
      </c>
      <c r="R24" s="21">
        <v>3.9552</v>
      </c>
      <c r="S24" s="194">
        <v>4.5991</v>
      </c>
      <c r="T24" s="21">
        <v>3.4844</v>
      </c>
      <c r="U24" s="21">
        <v>5.9657</v>
      </c>
      <c r="V24" s="21">
        <v>3.434</v>
      </c>
      <c r="W24" s="21">
        <v>4.3845</v>
      </c>
      <c r="X24" s="21">
        <v>5.0087</v>
      </c>
      <c r="Y24" s="21">
        <v>4.8335</v>
      </c>
      <c r="Z24" s="21">
        <v>3.5807</v>
      </c>
      <c r="AA24" s="21">
        <v>6.4103</v>
      </c>
      <c r="AB24" s="21">
        <v>7.9105</v>
      </c>
      <c r="AC24" s="21">
        <v>0</v>
      </c>
      <c r="AK24" s="499"/>
      <c r="AL24" s="499"/>
      <c r="AM24" s="499"/>
      <c r="AN24" s="499"/>
      <c r="AO24" s="499"/>
      <c r="AP24" s="499"/>
    </row>
    <row r="25" spans="1:42" ht="15">
      <c r="A25" s="430">
        <v>361519.82936264056</v>
      </c>
      <c r="B25" s="24">
        <v>20</v>
      </c>
      <c r="C25" s="21">
        <v>4.6648</v>
      </c>
      <c r="D25" s="21">
        <v>5.6</v>
      </c>
      <c r="E25" s="435">
        <v>5.948199999999999</v>
      </c>
      <c r="F25" s="21">
        <v>7.3629999999999995</v>
      </c>
      <c r="G25" s="21">
        <v>9.631899999999998</v>
      </c>
      <c r="H25" s="21">
        <v>5.0985</v>
      </c>
      <c r="I25" s="21">
        <v>5.948199999999999</v>
      </c>
      <c r="J25" s="21">
        <v>3.5413</v>
      </c>
      <c r="K25" s="21">
        <v>4.2487</v>
      </c>
      <c r="L25" s="21">
        <v>4.8159</v>
      </c>
      <c r="M25" s="21">
        <v>4.6648</v>
      </c>
      <c r="N25" s="21">
        <v>5.2386</v>
      </c>
      <c r="O25" s="21">
        <v>7.0827</v>
      </c>
      <c r="P25" s="21">
        <v>5.9482</v>
      </c>
      <c r="Q25" s="21">
        <v>4.5312</v>
      </c>
      <c r="R25" s="21">
        <v>3.8217</v>
      </c>
      <c r="S25" s="194">
        <v>4.5991</v>
      </c>
      <c r="T25" s="21">
        <v>3.4669</v>
      </c>
      <c r="U25" s="21">
        <v>5.8562</v>
      </c>
      <c r="V25" s="21">
        <v>3.4034</v>
      </c>
      <c r="W25" s="21">
        <v>4.3232</v>
      </c>
      <c r="X25" s="21">
        <v>4.9408</v>
      </c>
      <c r="Y25" s="21">
        <v>4.6714</v>
      </c>
      <c r="Z25" s="21">
        <v>3.4647</v>
      </c>
      <c r="AA25" s="21">
        <v>6.1979</v>
      </c>
      <c r="AB25" s="21">
        <v>7.5426</v>
      </c>
      <c r="AC25" s="21">
        <v>0</v>
      </c>
      <c r="AK25" s="499"/>
      <c r="AL25" s="499"/>
      <c r="AM25" s="499"/>
      <c r="AN25" s="499"/>
      <c r="AO25" s="499"/>
      <c r="AP25" s="499"/>
    </row>
    <row r="26" spans="1:42" ht="15">
      <c r="A26" s="430">
        <v>413165.5192715892</v>
      </c>
      <c r="B26" s="24">
        <v>21</v>
      </c>
      <c r="C26" s="21">
        <v>4.5378</v>
      </c>
      <c r="D26" s="21">
        <v>5.444500000000001</v>
      </c>
      <c r="E26" s="435">
        <v>5.7686</v>
      </c>
      <c r="F26" s="21">
        <v>7.1396</v>
      </c>
      <c r="G26" s="21">
        <v>9.338399999999998</v>
      </c>
      <c r="H26" s="21">
        <v>4.9452</v>
      </c>
      <c r="I26" s="21">
        <v>5.7664</v>
      </c>
      <c r="J26" s="21">
        <v>3.434</v>
      </c>
      <c r="K26" s="21">
        <v>4.1195</v>
      </c>
      <c r="L26" s="21">
        <v>4.6692</v>
      </c>
      <c r="M26" s="21">
        <v>4.5378</v>
      </c>
      <c r="N26" s="21">
        <v>5.0787</v>
      </c>
      <c r="O26" s="21">
        <v>6.868</v>
      </c>
      <c r="P26" s="21">
        <v>5.7664</v>
      </c>
      <c r="Q26" s="21">
        <v>4.3955</v>
      </c>
      <c r="R26" s="21">
        <v>3.7056</v>
      </c>
      <c r="S26" s="194">
        <v>4.5991</v>
      </c>
      <c r="T26" s="21">
        <v>3.4537</v>
      </c>
      <c r="U26" s="21">
        <v>5.7445</v>
      </c>
      <c r="V26" s="21">
        <v>3.25</v>
      </c>
      <c r="W26" s="21">
        <v>4.2619</v>
      </c>
      <c r="X26" s="21">
        <v>4.8685</v>
      </c>
      <c r="Y26" s="21">
        <v>4.5334</v>
      </c>
      <c r="Z26" s="21">
        <v>3.3464</v>
      </c>
      <c r="AA26" s="21">
        <v>5.9898</v>
      </c>
      <c r="AB26" s="21">
        <v>7.2973</v>
      </c>
      <c r="AC26" s="21">
        <v>0</v>
      </c>
      <c r="AK26" s="499"/>
      <c r="AL26" s="499"/>
      <c r="AM26" s="499"/>
      <c r="AN26" s="499"/>
      <c r="AO26" s="499"/>
      <c r="AP26" s="499"/>
    </row>
    <row r="27" spans="1:42" ht="15">
      <c r="A27" s="430">
        <v>464811.20918053784</v>
      </c>
      <c r="B27" s="24">
        <v>22</v>
      </c>
      <c r="C27" s="21">
        <v>4.4152</v>
      </c>
      <c r="D27" s="21">
        <v>5.2978</v>
      </c>
      <c r="E27" s="435">
        <v>5.6197</v>
      </c>
      <c r="F27" s="21">
        <v>6.96</v>
      </c>
      <c r="G27" s="21">
        <v>9.0997</v>
      </c>
      <c r="H27" s="21">
        <v>4.8159</v>
      </c>
      <c r="I27" s="21">
        <v>5.6197</v>
      </c>
      <c r="J27" s="21">
        <v>3.3442</v>
      </c>
      <c r="K27" s="21">
        <v>4.0122</v>
      </c>
      <c r="L27" s="21">
        <v>4.5488</v>
      </c>
      <c r="M27" s="21">
        <v>4.4152</v>
      </c>
      <c r="N27" s="21">
        <v>4.9517</v>
      </c>
      <c r="O27" s="21">
        <v>6.6884</v>
      </c>
      <c r="P27" s="21">
        <v>5.6197</v>
      </c>
      <c r="Q27" s="21">
        <v>4.2816</v>
      </c>
      <c r="R27" s="21">
        <v>3.6114</v>
      </c>
      <c r="S27" s="194">
        <v>4.5991</v>
      </c>
      <c r="T27" s="21">
        <v>3.4143</v>
      </c>
      <c r="U27" s="21">
        <v>5.6306</v>
      </c>
      <c r="V27" s="21">
        <v>3.2194</v>
      </c>
      <c r="W27" s="21">
        <v>4.2005</v>
      </c>
      <c r="X27" s="21">
        <v>4.8006</v>
      </c>
      <c r="Y27" s="21">
        <v>4.4174</v>
      </c>
      <c r="Z27" s="21">
        <v>3.2084</v>
      </c>
      <c r="AA27" s="21">
        <v>5.7511</v>
      </c>
      <c r="AB27" s="21">
        <v>7.052</v>
      </c>
      <c r="AC27" s="21">
        <v>0</v>
      </c>
      <c r="AK27" s="499"/>
      <c r="AL27" s="499"/>
      <c r="AM27" s="499"/>
      <c r="AN27" s="499"/>
      <c r="AO27" s="499"/>
      <c r="AP27" s="499"/>
    </row>
    <row r="28" spans="1:42" ht="15">
      <c r="A28" s="429">
        <v>516456.8990894865</v>
      </c>
      <c r="B28" s="24">
        <v>23</v>
      </c>
      <c r="C28" s="21">
        <v>4.3692</v>
      </c>
      <c r="D28" s="21">
        <v>5.242999999999999</v>
      </c>
      <c r="E28" s="435">
        <v>5.554</v>
      </c>
      <c r="F28" s="21">
        <v>6.879</v>
      </c>
      <c r="G28" s="21">
        <v>8.9946</v>
      </c>
      <c r="H28" s="21">
        <v>4.7612000000000005</v>
      </c>
      <c r="I28" s="21">
        <v>5.554</v>
      </c>
      <c r="J28" s="21">
        <v>3.307</v>
      </c>
      <c r="K28" s="21">
        <v>3.9662</v>
      </c>
      <c r="L28" s="21">
        <v>4.4962</v>
      </c>
      <c r="M28" s="21">
        <v>4.3692</v>
      </c>
      <c r="N28" s="21">
        <v>4.8926</v>
      </c>
      <c r="O28" s="21">
        <v>6.6118</v>
      </c>
      <c r="P28" s="21">
        <v>5.554</v>
      </c>
      <c r="Q28" s="21">
        <v>4.2334</v>
      </c>
      <c r="R28" s="21">
        <v>3.572</v>
      </c>
      <c r="S28" s="194">
        <v>4.5991</v>
      </c>
      <c r="T28" s="21">
        <v>3.399</v>
      </c>
      <c r="U28" s="21">
        <v>5.473</v>
      </c>
      <c r="V28" s="21">
        <v>3.1887</v>
      </c>
      <c r="W28" s="21">
        <v>4.1392</v>
      </c>
      <c r="X28" s="21">
        <v>4.7261</v>
      </c>
      <c r="Y28" s="21">
        <v>4.3648</v>
      </c>
      <c r="Z28" s="21">
        <v>3.1624</v>
      </c>
      <c r="AA28" s="21">
        <v>5.6569</v>
      </c>
      <c r="AB28" s="21">
        <v>6.7563</v>
      </c>
      <c r="AC28" s="21">
        <v>0</v>
      </c>
      <c r="AK28" s="499"/>
      <c r="AL28" s="499"/>
      <c r="AM28" s="499"/>
      <c r="AN28" s="499"/>
      <c r="AO28" s="499"/>
      <c r="AP28" s="499"/>
    </row>
    <row r="29" spans="1:42" ht="15">
      <c r="A29" s="430">
        <v>774685.3486342297</v>
      </c>
      <c r="B29" s="24">
        <v>24</v>
      </c>
      <c r="C29" s="21">
        <v>4.0319</v>
      </c>
      <c r="D29" s="21">
        <v>4.8378</v>
      </c>
      <c r="E29" s="435">
        <v>5.129100000000001</v>
      </c>
      <c r="F29" s="21">
        <v>6.3512</v>
      </c>
      <c r="G29" s="21">
        <v>8.3091</v>
      </c>
      <c r="H29" s="21">
        <v>4.3955</v>
      </c>
      <c r="I29" s="21">
        <v>5.1313</v>
      </c>
      <c r="J29" s="21">
        <v>3.0529</v>
      </c>
      <c r="K29" s="21">
        <v>3.664</v>
      </c>
      <c r="L29" s="21">
        <v>4.1545</v>
      </c>
      <c r="M29" s="21">
        <v>4.0319</v>
      </c>
      <c r="N29" s="21">
        <v>4.5181</v>
      </c>
      <c r="O29" s="21">
        <v>6.1059</v>
      </c>
      <c r="P29" s="21">
        <v>5.1313</v>
      </c>
      <c r="Q29" s="21">
        <v>3.9093</v>
      </c>
      <c r="R29" s="21">
        <v>3.2982</v>
      </c>
      <c r="S29" s="194">
        <v>4.5991</v>
      </c>
      <c r="T29" s="21">
        <v>3.2303</v>
      </c>
      <c r="U29" s="21">
        <v>4.8094</v>
      </c>
      <c r="V29" s="21">
        <v>3.0354</v>
      </c>
      <c r="W29" s="21">
        <v>4.0472</v>
      </c>
      <c r="X29" s="21">
        <v>4.6232</v>
      </c>
      <c r="Y29" s="21">
        <v>4.0319</v>
      </c>
      <c r="Z29" s="21">
        <v>2.777</v>
      </c>
      <c r="AA29" s="21">
        <v>4.9714</v>
      </c>
      <c r="AB29" s="21">
        <v>6.6578</v>
      </c>
      <c r="AC29" s="21">
        <v>0</v>
      </c>
      <c r="AK29" s="499"/>
      <c r="AL29" s="499"/>
      <c r="AM29" s="499"/>
      <c r="AN29" s="499"/>
      <c r="AO29" s="499"/>
      <c r="AP29" s="499"/>
    </row>
    <row r="30" spans="1:42" ht="15">
      <c r="A30" s="430">
        <v>1032913.798178973</v>
      </c>
      <c r="B30" s="24">
        <v>25</v>
      </c>
      <c r="C30" s="21">
        <v>3.8326000000000002</v>
      </c>
      <c r="D30" s="21">
        <v>4.5991</v>
      </c>
      <c r="E30" s="435">
        <v>4.8795</v>
      </c>
      <c r="F30" s="21">
        <v>6.0402000000000005</v>
      </c>
      <c r="G30" s="21">
        <v>7.899500000000001</v>
      </c>
      <c r="H30" s="21">
        <v>4.1808000000000005</v>
      </c>
      <c r="I30" s="21">
        <v>4.8795</v>
      </c>
      <c r="J30" s="21">
        <v>2.9018</v>
      </c>
      <c r="K30" s="21">
        <v>3.4844</v>
      </c>
      <c r="L30" s="21">
        <v>3.9509</v>
      </c>
      <c r="M30" s="21">
        <v>3.8326</v>
      </c>
      <c r="N30" s="21">
        <v>4.2969</v>
      </c>
      <c r="O30" s="21">
        <v>5.8102</v>
      </c>
      <c r="P30" s="21">
        <v>4.8795</v>
      </c>
      <c r="Q30" s="21">
        <v>3.7187</v>
      </c>
      <c r="R30" s="21">
        <v>3.1362</v>
      </c>
      <c r="S30" s="194">
        <v>4.5991</v>
      </c>
      <c r="T30" s="21">
        <v>3.1165</v>
      </c>
      <c r="U30" s="21">
        <v>4.448</v>
      </c>
      <c r="V30" s="21">
        <v>2.8821</v>
      </c>
      <c r="W30" s="21">
        <v>3.9246</v>
      </c>
      <c r="X30" s="21">
        <v>4.4809</v>
      </c>
      <c r="Y30" s="21">
        <v>3.8326</v>
      </c>
      <c r="Z30" s="21">
        <v>2.5229</v>
      </c>
      <c r="AA30" s="21">
        <v>4.5115</v>
      </c>
      <c r="AB30" s="21">
        <v>5.8497</v>
      </c>
      <c r="AC30" s="21">
        <v>0</v>
      </c>
      <c r="AK30" s="499"/>
      <c r="AL30" s="499"/>
      <c r="AM30" s="499"/>
      <c r="AN30" s="499"/>
      <c r="AO30" s="499"/>
      <c r="AP30" s="499"/>
    </row>
    <row r="31" spans="1:42" ht="15">
      <c r="A31" s="430">
        <v>1549370.6972684595</v>
      </c>
      <c r="B31" s="24">
        <v>26</v>
      </c>
      <c r="C31" s="21">
        <v>3.5260000000000007</v>
      </c>
      <c r="D31" s="21">
        <v>4.231199999999999</v>
      </c>
      <c r="E31" s="435">
        <v>4.5247</v>
      </c>
      <c r="F31" s="21">
        <v>5.6044</v>
      </c>
      <c r="G31" s="21">
        <v>7.3279</v>
      </c>
      <c r="H31" s="21">
        <v>3.8786</v>
      </c>
      <c r="I31" s="21">
        <v>4.5247</v>
      </c>
      <c r="J31" s="21">
        <v>2.6938</v>
      </c>
      <c r="K31" s="21">
        <v>3.2303</v>
      </c>
      <c r="L31" s="21">
        <v>3.664</v>
      </c>
      <c r="M31" s="21">
        <v>3.526</v>
      </c>
      <c r="N31" s="21">
        <v>3.9859</v>
      </c>
      <c r="O31" s="21">
        <v>5.3854</v>
      </c>
      <c r="P31" s="21">
        <v>4.5247</v>
      </c>
      <c r="Q31" s="21">
        <v>3.4493</v>
      </c>
      <c r="R31" s="21">
        <v>2.9084</v>
      </c>
      <c r="S31" s="194">
        <v>4.5991</v>
      </c>
      <c r="T31" s="21">
        <v>3.0814</v>
      </c>
      <c r="U31" s="21">
        <v>4.3495</v>
      </c>
      <c r="V31" s="21">
        <v>2.7288</v>
      </c>
      <c r="W31" s="21">
        <v>3.7406</v>
      </c>
      <c r="X31" s="21">
        <v>4.2728</v>
      </c>
      <c r="Y31" s="21">
        <v>3.5567</v>
      </c>
      <c r="Z31" s="21">
        <v>2.4069</v>
      </c>
      <c r="AA31" s="21">
        <v>4.31</v>
      </c>
      <c r="AB31" s="21">
        <v>5.3087</v>
      </c>
      <c r="AC31" s="21">
        <v>0</v>
      </c>
      <c r="AK31" s="499"/>
      <c r="AL31" s="499"/>
      <c r="AM31" s="499"/>
      <c r="AN31" s="499"/>
      <c r="AO31" s="499"/>
      <c r="AP31" s="499"/>
    </row>
    <row r="32" spans="1:42" ht="15">
      <c r="A32" s="430">
        <v>2065827.596357946</v>
      </c>
      <c r="B32" s="24">
        <v>27</v>
      </c>
      <c r="C32" s="21">
        <v>3.3617</v>
      </c>
      <c r="D32" s="21">
        <v>4.0363</v>
      </c>
      <c r="E32" s="435">
        <v>4.2794</v>
      </c>
      <c r="F32" s="21">
        <v>5.2978</v>
      </c>
      <c r="G32" s="21">
        <v>6.9315</v>
      </c>
      <c r="H32" s="21">
        <v>3.6684000000000005</v>
      </c>
      <c r="I32" s="21">
        <v>4.2794</v>
      </c>
      <c r="J32" s="21">
        <v>2.547</v>
      </c>
      <c r="K32" s="21">
        <v>3.0551</v>
      </c>
      <c r="L32" s="21">
        <v>3.4647</v>
      </c>
      <c r="M32" s="21">
        <v>3.3617</v>
      </c>
      <c r="N32" s="21">
        <v>3.7713</v>
      </c>
      <c r="O32" s="21">
        <v>5.0941</v>
      </c>
      <c r="P32" s="21">
        <v>4.2794</v>
      </c>
      <c r="Q32" s="21">
        <v>3.261</v>
      </c>
      <c r="R32" s="21">
        <v>2.7485</v>
      </c>
      <c r="S32" s="194">
        <v>4.5991</v>
      </c>
      <c r="T32" s="21">
        <v>3.0048</v>
      </c>
      <c r="U32" s="21">
        <v>4.2925</v>
      </c>
      <c r="V32" s="21">
        <v>2.6368</v>
      </c>
      <c r="W32" s="21">
        <v>3.5567</v>
      </c>
      <c r="X32" s="21">
        <v>4.0648</v>
      </c>
      <c r="Y32" s="21">
        <v>3.3617</v>
      </c>
      <c r="Z32" s="21">
        <v>2.3937</v>
      </c>
      <c r="AA32" s="21">
        <v>4.2925</v>
      </c>
      <c r="AB32" s="21">
        <v>5.0634</v>
      </c>
      <c r="AC32" s="21">
        <v>0</v>
      </c>
      <c r="AK32" s="499"/>
      <c r="AL32" s="499"/>
      <c r="AM32" s="499"/>
      <c r="AN32" s="499"/>
      <c r="AO32" s="499"/>
      <c r="AP32" s="499"/>
    </row>
    <row r="33" spans="1:42" ht="15">
      <c r="A33" s="429">
        <v>2582284.4954474326</v>
      </c>
      <c r="B33" s="24">
        <v>28</v>
      </c>
      <c r="C33" s="21">
        <v>3.2194000000000003</v>
      </c>
      <c r="D33" s="21">
        <v>3.8633</v>
      </c>
      <c r="E33" s="435">
        <v>4.101999999999999</v>
      </c>
      <c r="F33" s="21">
        <v>5.076600000000001</v>
      </c>
      <c r="G33" s="21">
        <v>6.640299999999999</v>
      </c>
      <c r="H33" s="21">
        <v>3.5129000000000006</v>
      </c>
      <c r="I33" s="21">
        <v>4.101999999999999</v>
      </c>
      <c r="J33" s="21">
        <v>2.4397</v>
      </c>
      <c r="K33" s="21">
        <v>2.9281</v>
      </c>
      <c r="L33" s="21">
        <v>3.3201</v>
      </c>
      <c r="M33" s="21">
        <v>3.2194</v>
      </c>
      <c r="N33" s="21">
        <v>3.6114</v>
      </c>
      <c r="O33" s="21">
        <v>4.8795</v>
      </c>
      <c r="P33" s="21">
        <v>4.102</v>
      </c>
      <c r="Q33" s="21">
        <v>3.123</v>
      </c>
      <c r="R33" s="21">
        <v>2.6368</v>
      </c>
      <c r="S33" s="194">
        <v>4.5991</v>
      </c>
      <c r="T33" s="21">
        <v>2.9478</v>
      </c>
      <c r="U33" s="21">
        <v>4.2356</v>
      </c>
      <c r="V33" s="21">
        <v>2.5142</v>
      </c>
      <c r="W33" s="21">
        <v>3.3727</v>
      </c>
      <c r="X33" s="21">
        <v>3.8501</v>
      </c>
      <c r="Y33" s="21">
        <v>3.2216</v>
      </c>
      <c r="Z33" s="21">
        <v>2.3696</v>
      </c>
      <c r="AA33" s="21">
        <v>4.2421</v>
      </c>
      <c r="AB33" s="21">
        <v>5.0284</v>
      </c>
      <c r="AC33" s="21">
        <v>0</v>
      </c>
      <c r="AK33" s="499"/>
      <c r="AL33" s="499"/>
      <c r="AM33" s="499"/>
      <c r="AN33" s="499"/>
      <c r="AO33" s="499"/>
      <c r="AP33" s="499"/>
    </row>
    <row r="34" spans="1:42" ht="15">
      <c r="A34" s="430">
        <v>1000000000</v>
      </c>
      <c r="B34" s="24">
        <v>30</v>
      </c>
      <c r="C34" s="21">
        <v>2.6828000000000003</v>
      </c>
      <c r="D34" s="21">
        <v>3.2194000000000003</v>
      </c>
      <c r="E34" s="435">
        <v>3.418300000000001</v>
      </c>
      <c r="F34" s="21">
        <v>4.2305</v>
      </c>
      <c r="G34" s="21">
        <v>5.5336</v>
      </c>
      <c r="H34" s="21">
        <v>2.9274</v>
      </c>
      <c r="I34" s="21">
        <v>3.418300000000001</v>
      </c>
      <c r="J34" s="21">
        <v>2.0331</v>
      </c>
      <c r="K34" s="21">
        <v>2.4401</v>
      </c>
      <c r="L34" s="21">
        <v>2.7668</v>
      </c>
      <c r="M34" s="21">
        <v>2.6828</v>
      </c>
      <c r="N34" s="21">
        <v>3.0095</v>
      </c>
      <c r="O34" s="21">
        <v>4.0662</v>
      </c>
      <c r="P34" s="21">
        <v>3.4183</v>
      </c>
      <c r="Q34" s="21">
        <v>2.6025</v>
      </c>
      <c r="R34" s="21">
        <v>2.1974</v>
      </c>
      <c r="S34" s="21">
        <v>4.5991</v>
      </c>
      <c r="T34" s="21">
        <v>2.4565</v>
      </c>
      <c r="U34" s="21">
        <v>3.5296</v>
      </c>
      <c r="V34" s="21">
        <v>2.0952</v>
      </c>
      <c r="W34" s="21">
        <v>2.8106</v>
      </c>
      <c r="X34" s="21">
        <v>3.2084</v>
      </c>
      <c r="Y34" s="21">
        <v>2.6846</v>
      </c>
      <c r="Z34" s="21">
        <v>1.9747</v>
      </c>
      <c r="AA34" s="21">
        <v>3.5351</v>
      </c>
      <c r="AB34" s="21">
        <v>4.1903</v>
      </c>
      <c r="AC34" s="21">
        <v>0</v>
      </c>
      <c r="AK34" s="499"/>
      <c r="AL34" s="499"/>
      <c r="AM34" s="499"/>
      <c r="AN34" s="499"/>
      <c r="AO34" s="499"/>
      <c r="AP34" s="499"/>
    </row>
    <row r="35" spans="1:42" ht="15">
      <c r="A35" s="430"/>
      <c r="B35" s="24"/>
      <c r="C35" s="21"/>
      <c r="D35" s="21"/>
      <c r="E35" s="109"/>
      <c r="F35" s="21"/>
      <c r="G35" s="21"/>
      <c r="H35" s="21"/>
      <c r="I35" s="21"/>
      <c r="J35" s="21"/>
      <c r="K35" s="21"/>
      <c r="L35" s="21"/>
      <c r="M35" s="21"/>
      <c r="N35" s="21"/>
      <c r="O35" s="21"/>
      <c r="P35" s="21"/>
      <c r="Q35" s="21"/>
      <c r="R35" s="21"/>
      <c r="S35" s="21"/>
      <c r="T35" s="21"/>
      <c r="U35" s="21"/>
      <c r="V35" s="21"/>
      <c r="W35" s="21"/>
      <c r="X35" s="21"/>
      <c r="Y35" s="21"/>
      <c r="Z35" s="21"/>
      <c r="AA35" s="21"/>
      <c r="AB35" s="21"/>
      <c r="AC35" s="21"/>
      <c r="AK35" s="499"/>
      <c r="AL35" s="499"/>
      <c r="AM35" s="499"/>
      <c r="AN35" s="499"/>
      <c r="AO35" s="499"/>
      <c r="AP35" s="499"/>
    </row>
    <row r="36" spans="1:42" ht="15">
      <c r="A36" s="430"/>
      <c r="B36" s="24"/>
      <c r="C36" s="21"/>
      <c r="D36" s="21"/>
      <c r="E36" s="109"/>
      <c r="F36" s="21"/>
      <c r="G36" s="21"/>
      <c r="H36" s="21"/>
      <c r="I36" s="21"/>
      <c r="J36" s="21"/>
      <c r="K36" s="21"/>
      <c r="L36" s="21"/>
      <c r="M36" s="21"/>
      <c r="N36" s="21"/>
      <c r="O36" s="21"/>
      <c r="P36" s="21"/>
      <c r="Q36" s="21"/>
      <c r="R36" s="21"/>
      <c r="S36" s="21"/>
      <c r="T36" s="21"/>
      <c r="U36" s="21"/>
      <c r="V36" s="21"/>
      <c r="W36" s="21"/>
      <c r="X36" s="21"/>
      <c r="Y36" s="21"/>
      <c r="Z36" s="21"/>
      <c r="AA36" s="21"/>
      <c r="AB36" s="21"/>
      <c r="AC36" s="21"/>
      <c r="AK36" s="499"/>
      <c r="AL36" s="499"/>
      <c r="AM36" s="499"/>
      <c r="AN36" s="499"/>
      <c r="AO36" s="499"/>
      <c r="AP36" s="499"/>
    </row>
    <row r="37" spans="3:42" ht="12">
      <c r="C37" s="22"/>
      <c r="D37" s="22"/>
      <c r="E37" s="437"/>
      <c r="F37" s="22"/>
      <c r="G37" s="22"/>
      <c r="H37" s="22"/>
      <c r="I37" s="22"/>
      <c r="J37" s="125"/>
      <c r="K37" s="125"/>
      <c r="L37" s="125"/>
      <c r="AK37" s="499"/>
      <c r="AL37" s="499"/>
      <c r="AM37" s="499"/>
      <c r="AN37" s="499"/>
      <c r="AO37" s="499"/>
      <c r="AP37" s="499"/>
    </row>
    <row r="38" spans="1:42" ht="12">
      <c r="A38" s="126" t="s">
        <v>379</v>
      </c>
      <c r="C38" s="22"/>
      <c r="D38" s="22"/>
      <c r="E38" s="22"/>
      <c r="F38" s="21"/>
      <c r="G38" s="21"/>
      <c r="H38" s="21"/>
      <c r="I38" s="21"/>
      <c r="J38" s="21"/>
      <c r="K38" s="21"/>
      <c r="L38" s="21"/>
      <c r="AK38" s="499"/>
      <c r="AL38" s="499"/>
      <c r="AM38" s="499"/>
      <c r="AN38" s="499"/>
      <c r="AO38" s="499"/>
      <c r="AP38" s="499"/>
    </row>
    <row r="39" spans="1:42" ht="12">
      <c r="A39" s="82">
        <v>0</v>
      </c>
      <c r="B39" s="32">
        <v>0</v>
      </c>
      <c r="C39" s="23" t="s">
        <v>324</v>
      </c>
      <c r="D39" s="23" t="s">
        <v>325</v>
      </c>
      <c r="E39" s="23" t="s">
        <v>345</v>
      </c>
      <c r="F39" s="23" t="s">
        <v>346</v>
      </c>
      <c r="G39" s="23" t="s">
        <v>347</v>
      </c>
      <c r="H39" s="23" t="s">
        <v>354</v>
      </c>
      <c r="I39" s="23" t="s">
        <v>355</v>
      </c>
      <c r="J39" s="23" t="s">
        <v>326</v>
      </c>
      <c r="K39" s="23" t="s">
        <v>327</v>
      </c>
      <c r="L39" s="23" t="s">
        <v>328</v>
      </c>
      <c r="M39" s="23" t="s">
        <v>356</v>
      </c>
      <c r="N39" s="23" t="s">
        <v>357</v>
      </c>
      <c r="O39" s="23" t="s">
        <v>358</v>
      </c>
      <c r="P39" s="23" t="s">
        <v>359</v>
      </c>
      <c r="Q39" s="23" t="s">
        <v>360</v>
      </c>
      <c r="R39" s="23" t="s">
        <v>361</v>
      </c>
      <c r="S39" s="23" t="s">
        <v>329</v>
      </c>
      <c r="T39" s="23" t="s">
        <v>362</v>
      </c>
      <c r="U39" s="23" t="s">
        <v>363</v>
      </c>
      <c r="V39" s="23" t="s">
        <v>364</v>
      </c>
      <c r="W39" s="23" t="s">
        <v>365</v>
      </c>
      <c r="X39" s="23" t="s">
        <v>366</v>
      </c>
      <c r="Y39" s="23" t="s">
        <v>330</v>
      </c>
      <c r="Z39" s="23" t="s">
        <v>367</v>
      </c>
      <c r="AA39" s="23" t="s">
        <v>368</v>
      </c>
      <c r="AB39" s="23" t="s">
        <v>369</v>
      </c>
      <c r="AC39" s="127" t="s">
        <v>283</v>
      </c>
      <c r="AK39" s="499"/>
      <c r="AL39" s="499"/>
      <c r="AM39" s="499"/>
      <c r="AN39" s="499"/>
      <c r="AO39" s="499"/>
      <c r="AP39" s="499"/>
    </row>
    <row r="40" spans="1:42" ht="12">
      <c r="A40" s="127" t="s">
        <v>332</v>
      </c>
      <c r="B40" s="32">
        <v>0</v>
      </c>
      <c r="C40" s="21">
        <v>0.1</v>
      </c>
      <c r="D40" s="21">
        <v>0.1</v>
      </c>
      <c r="E40" s="21">
        <v>0.1</v>
      </c>
      <c r="F40" s="21">
        <v>0.1</v>
      </c>
      <c r="G40" s="21">
        <v>0.12</v>
      </c>
      <c r="H40" s="21">
        <v>0.08</v>
      </c>
      <c r="I40" s="21">
        <v>0.08</v>
      </c>
      <c r="J40" s="21">
        <v>0.12</v>
      </c>
      <c r="K40" s="21">
        <v>0.12</v>
      </c>
      <c r="L40" s="21">
        <v>0.12</v>
      </c>
      <c r="M40" s="21">
        <v>0.12</v>
      </c>
      <c r="N40" s="21">
        <v>0.12</v>
      </c>
      <c r="O40" s="21">
        <v>0.12</v>
      </c>
      <c r="P40" s="21">
        <v>0.08</v>
      </c>
      <c r="Q40" s="21">
        <v>0.08</v>
      </c>
      <c r="R40" s="21">
        <v>0.08</v>
      </c>
      <c r="S40" s="32">
        <v>0.12</v>
      </c>
      <c r="T40" s="21">
        <v>0.07</v>
      </c>
      <c r="U40" s="21">
        <v>0.07</v>
      </c>
      <c r="V40" s="21">
        <v>0.07</v>
      </c>
      <c r="W40" s="21">
        <v>0.07</v>
      </c>
      <c r="X40" s="21">
        <v>0.07</v>
      </c>
      <c r="Y40" s="21">
        <v>0.1</v>
      </c>
      <c r="Z40" s="32">
        <v>0.07</v>
      </c>
      <c r="AA40" s="32">
        <v>0.07</v>
      </c>
      <c r="AB40" s="32">
        <v>0.07</v>
      </c>
      <c r="AC40" s="21">
        <v>0</v>
      </c>
      <c r="AK40" s="499"/>
      <c r="AL40" s="499"/>
      <c r="AM40" s="499"/>
      <c r="AN40" s="499"/>
      <c r="AO40" s="499"/>
      <c r="AP40" s="499"/>
    </row>
    <row r="41" spans="1:42" ht="12">
      <c r="A41" s="127" t="s">
        <v>333</v>
      </c>
      <c r="B41" s="32">
        <v>0</v>
      </c>
      <c r="C41" s="21">
        <v>0.02</v>
      </c>
      <c r="D41" s="21">
        <v>0.02</v>
      </c>
      <c r="E41" s="21">
        <v>0.02</v>
      </c>
      <c r="F41" s="21">
        <v>0.02</v>
      </c>
      <c r="G41" s="21">
        <v>0.02</v>
      </c>
      <c r="H41" s="21">
        <v>0.02</v>
      </c>
      <c r="I41" s="21">
        <v>0.02</v>
      </c>
      <c r="J41" s="21">
        <v>0.03</v>
      </c>
      <c r="K41" s="21">
        <v>0.03</v>
      </c>
      <c r="L41" s="21">
        <v>0.03</v>
      </c>
      <c r="M41" s="21">
        <v>0.03</v>
      </c>
      <c r="N41" s="21">
        <v>0.03</v>
      </c>
      <c r="O41" s="21">
        <v>0.03</v>
      </c>
      <c r="P41" s="21">
        <v>0.02</v>
      </c>
      <c r="Q41" s="21">
        <v>0.02</v>
      </c>
      <c r="R41" s="21">
        <v>0.02</v>
      </c>
      <c r="S41" s="32">
        <v>0.03</v>
      </c>
      <c r="T41" s="21">
        <v>0.03</v>
      </c>
      <c r="U41" s="21">
        <v>0.03</v>
      </c>
      <c r="V41" s="21">
        <v>0.02</v>
      </c>
      <c r="W41" s="21">
        <v>0.02</v>
      </c>
      <c r="X41" s="21">
        <v>0.02</v>
      </c>
      <c r="Y41" s="21">
        <v>0.03</v>
      </c>
      <c r="Z41" s="32">
        <v>0.03</v>
      </c>
      <c r="AA41" s="32">
        <v>0.03</v>
      </c>
      <c r="AB41" s="32">
        <v>0.03</v>
      </c>
      <c r="AC41" s="21">
        <v>0</v>
      </c>
      <c r="AK41" s="499"/>
      <c r="AL41" s="499"/>
      <c r="AM41" s="499"/>
      <c r="AN41" s="499"/>
      <c r="AO41" s="499"/>
      <c r="AP41" s="499"/>
    </row>
    <row r="42" spans="1:42" ht="12">
      <c r="A42" s="127" t="s">
        <v>335</v>
      </c>
      <c r="B42" s="32">
        <v>0</v>
      </c>
      <c r="C42" s="21">
        <v>0.25</v>
      </c>
      <c r="D42" s="21">
        <v>0.25</v>
      </c>
      <c r="E42" s="21">
        <v>0.25</v>
      </c>
      <c r="F42" s="21">
        <v>0.25</v>
      </c>
      <c r="G42" s="21">
        <v>0.28</v>
      </c>
      <c r="H42" s="21">
        <v>0.28</v>
      </c>
      <c r="I42" s="21">
        <v>0.28</v>
      </c>
      <c r="J42" s="21">
        <v>0.22</v>
      </c>
      <c r="K42" s="21">
        <v>0.22</v>
      </c>
      <c r="L42" s="21">
        <v>0.22</v>
      </c>
      <c r="M42" s="21">
        <v>0.22</v>
      </c>
      <c r="N42" s="21">
        <v>0.22</v>
      </c>
      <c r="O42" s="21">
        <v>0.22</v>
      </c>
      <c r="P42" s="21">
        <v>0.18</v>
      </c>
      <c r="Q42" s="21">
        <v>0.18</v>
      </c>
      <c r="R42" s="21">
        <v>0.18</v>
      </c>
      <c r="S42" s="32">
        <v>0.3</v>
      </c>
      <c r="T42" s="21">
        <v>0.15</v>
      </c>
      <c r="U42" s="21">
        <v>0.15</v>
      </c>
      <c r="V42" s="21">
        <v>0.12</v>
      </c>
      <c r="W42" s="21">
        <v>0.12</v>
      </c>
      <c r="X42" s="21">
        <v>0.12</v>
      </c>
      <c r="Y42" s="21">
        <v>0.15</v>
      </c>
      <c r="Z42" s="32">
        <v>0.2</v>
      </c>
      <c r="AA42" s="32">
        <v>0.2</v>
      </c>
      <c r="AB42" s="32">
        <v>0.2</v>
      </c>
      <c r="AC42" s="21">
        <v>0</v>
      </c>
      <c r="AK42" s="499"/>
      <c r="AL42" s="499"/>
      <c r="AM42" s="499"/>
      <c r="AN42" s="499"/>
      <c r="AO42" s="499"/>
      <c r="AP42" s="499"/>
    </row>
    <row r="43" spans="1:42" ht="12">
      <c r="A43" s="127" t="s">
        <v>336</v>
      </c>
      <c r="B43" s="32">
        <v>0</v>
      </c>
      <c r="C43" s="21">
        <v>0.1</v>
      </c>
      <c r="D43" s="21">
        <v>0.1</v>
      </c>
      <c r="E43" s="21">
        <v>0.1</v>
      </c>
      <c r="F43" s="21">
        <v>0.1</v>
      </c>
      <c r="G43" s="21">
        <v>0.08</v>
      </c>
      <c r="H43" s="21">
        <v>0.08</v>
      </c>
      <c r="I43" s="21">
        <v>0.08</v>
      </c>
      <c r="J43" s="21">
        <v>0.1</v>
      </c>
      <c r="K43" s="21">
        <v>0.1</v>
      </c>
      <c r="L43" s="21">
        <v>0.1</v>
      </c>
      <c r="M43" s="21">
        <v>0.1</v>
      </c>
      <c r="N43" s="21">
        <v>0.1</v>
      </c>
      <c r="O43" s="21">
        <v>0.1</v>
      </c>
      <c r="P43" s="21">
        <v>0.07</v>
      </c>
      <c r="Q43" s="21">
        <v>0.07</v>
      </c>
      <c r="R43" s="21">
        <v>0.07</v>
      </c>
      <c r="S43" s="32">
        <v>0.07</v>
      </c>
      <c r="T43" s="21">
        <v>0.12</v>
      </c>
      <c r="U43" s="21">
        <v>0.12</v>
      </c>
      <c r="V43" s="21">
        <v>0.04</v>
      </c>
      <c r="W43" s="21">
        <v>0.04</v>
      </c>
      <c r="X43" s="21">
        <v>0.04</v>
      </c>
      <c r="Y43" s="21">
        <v>0.05</v>
      </c>
      <c r="Z43" s="32">
        <v>0.05</v>
      </c>
      <c r="AA43" s="32">
        <v>0.05</v>
      </c>
      <c r="AB43" s="32">
        <v>0.05</v>
      </c>
      <c r="AC43" s="21">
        <v>0</v>
      </c>
      <c r="AK43" s="499"/>
      <c r="AL43" s="499"/>
      <c r="AM43" s="499"/>
      <c r="AN43" s="499"/>
      <c r="AO43" s="499"/>
      <c r="AP43" s="499"/>
    </row>
    <row r="44" spans="1:42" ht="12">
      <c r="A44" s="127" t="s">
        <v>337</v>
      </c>
      <c r="B44" s="32">
        <v>0</v>
      </c>
      <c r="C44" s="21">
        <v>0.15</v>
      </c>
      <c r="D44" s="21">
        <v>0.15</v>
      </c>
      <c r="E44" s="21">
        <v>0.15</v>
      </c>
      <c r="F44" s="21">
        <v>0.15</v>
      </c>
      <c r="G44" s="21">
        <v>0.2</v>
      </c>
      <c r="H44" s="21">
        <v>0.04</v>
      </c>
      <c r="I44" s="21">
        <v>0.04</v>
      </c>
      <c r="J44" s="21">
        <v>0.08</v>
      </c>
      <c r="K44" s="21">
        <v>0.08</v>
      </c>
      <c r="L44" s="21">
        <v>0.08</v>
      </c>
      <c r="M44" s="21">
        <v>0.08</v>
      </c>
      <c r="N44" s="21">
        <v>0.08</v>
      </c>
      <c r="O44" s="21">
        <v>0.08</v>
      </c>
      <c r="P44" s="21">
        <v>0.05</v>
      </c>
      <c r="Q44" s="21">
        <v>0.05</v>
      </c>
      <c r="R44" s="21">
        <v>0.05</v>
      </c>
      <c r="S44" s="32">
        <v>0.08</v>
      </c>
      <c r="T44" s="21">
        <v>0.1</v>
      </c>
      <c r="U44" s="21">
        <v>0.1</v>
      </c>
      <c r="V44" s="21">
        <v>0.15</v>
      </c>
      <c r="W44" s="21">
        <v>0.15</v>
      </c>
      <c r="X44" s="21">
        <v>0.15</v>
      </c>
      <c r="Y44" s="21">
        <v>0.12</v>
      </c>
      <c r="Z44" s="32">
        <v>0.2</v>
      </c>
      <c r="AA44" s="32">
        <v>0.2</v>
      </c>
      <c r="AB44" s="32">
        <v>0.2</v>
      </c>
      <c r="AC44" s="21">
        <v>0</v>
      </c>
      <c r="AK44" s="499"/>
      <c r="AL44" s="499"/>
      <c r="AM44" s="499"/>
      <c r="AN44" s="499"/>
      <c r="AO44" s="499"/>
      <c r="AP44" s="499"/>
    </row>
    <row r="45" spans="1:42" ht="12">
      <c r="A45" s="127" t="s">
        <v>338</v>
      </c>
      <c r="B45" s="32">
        <v>0</v>
      </c>
      <c r="C45" s="21">
        <v>0.03</v>
      </c>
      <c r="D45" s="21">
        <v>0.03</v>
      </c>
      <c r="E45" s="21">
        <v>0.03</v>
      </c>
      <c r="F45" s="21">
        <v>0.03</v>
      </c>
      <c r="G45" s="21">
        <v>0.03</v>
      </c>
      <c r="H45" s="21">
        <v>0.05</v>
      </c>
      <c r="I45" s="21">
        <v>0.05</v>
      </c>
      <c r="J45" s="21">
        <v>0.1</v>
      </c>
      <c r="K45" s="21">
        <v>0.1</v>
      </c>
      <c r="L45" s="21">
        <v>0.1</v>
      </c>
      <c r="M45" s="21">
        <v>0.1</v>
      </c>
      <c r="N45" s="21">
        <v>0.1</v>
      </c>
      <c r="O45" s="21">
        <v>0.1</v>
      </c>
      <c r="P45" s="21">
        <v>0.1</v>
      </c>
      <c r="Q45" s="21">
        <v>0.1</v>
      </c>
      <c r="R45" s="21">
        <v>0.1</v>
      </c>
      <c r="S45" s="32">
        <v>0</v>
      </c>
      <c r="T45" s="21">
        <v>0.08</v>
      </c>
      <c r="U45" s="21">
        <v>0.08</v>
      </c>
      <c r="V45" s="21">
        <v>0.1</v>
      </c>
      <c r="W45" s="21">
        <v>0.1</v>
      </c>
      <c r="X45" s="21">
        <v>0.1</v>
      </c>
      <c r="Y45" s="21">
        <v>0.1</v>
      </c>
      <c r="Z45" s="32">
        <v>0.1</v>
      </c>
      <c r="AA45" s="32">
        <v>0.1</v>
      </c>
      <c r="AB45" s="32">
        <v>0.1</v>
      </c>
      <c r="AC45" s="21">
        <v>0</v>
      </c>
      <c r="AK45" s="499"/>
      <c r="AL45" s="499"/>
      <c r="AM45" s="499"/>
      <c r="AN45" s="499"/>
      <c r="AO45" s="499"/>
      <c r="AP45" s="499"/>
    </row>
    <row r="46" spans="1:42" ht="12">
      <c r="A46" s="127" t="s">
        <v>339</v>
      </c>
      <c r="B46" s="32">
        <v>0</v>
      </c>
      <c r="C46" s="21">
        <v>0.25</v>
      </c>
      <c r="D46" s="21">
        <v>0.25</v>
      </c>
      <c r="E46" s="21">
        <v>0.25</v>
      </c>
      <c r="F46" s="21">
        <v>0.25</v>
      </c>
      <c r="G46" s="21">
        <v>0.2</v>
      </c>
      <c r="H46" s="21">
        <v>0.35</v>
      </c>
      <c r="I46" s="21">
        <v>0.35</v>
      </c>
      <c r="J46" s="21">
        <v>0.15</v>
      </c>
      <c r="K46" s="21">
        <v>0.15</v>
      </c>
      <c r="L46" s="21">
        <v>0.15</v>
      </c>
      <c r="M46" s="21">
        <v>0.15</v>
      </c>
      <c r="N46" s="21">
        <v>0.15</v>
      </c>
      <c r="O46" s="21">
        <v>0.15</v>
      </c>
      <c r="P46" s="21">
        <v>0.2</v>
      </c>
      <c r="Q46" s="21">
        <v>0.2</v>
      </c>
      <c r="R46" s="21">
        <v>0.2</v>
      </c>
      <c r="S46" s="32">
        <v>0.15</v>
      </c>
      <c r="T46" s="21">
        <v>0.25</v>
      </c>
      <c r="U46" s="21">
        <v>0.25</v>
      </c>
      <c r="V46" s="21">
        <v>0.3</v>
      </c>
      <c r="W46" s="21">
        <v>0.3</v>
      </c>
      <c r="X46" s="21">
        <v>0.3</v>
      </c>
      <c r="Y46" s="21">
        <v>0.25</v>
      </c>
      <c r="Z46" s="32">
        <v>0.2</v>
      </c>
      <c r="AA46" s="32">
        <v>0.2</v>
      </c>
      <c r="AB46" s="32">
        <v>0.2</v>
      </c>
      <c r="AC46" s="21">
        <v>0</v>
      </c>
      <c r="AK46" s="499"/>
      <c r="AL46" s="499"/>
      <c r="AM46" s="499"/>
      <c r="AN46" s="499"/>
      <c r="AO46" s="499"/>
      <c r="AP46" s="499"/>
    </row>
    <row r="47" spans="1:42" ht="12">
      <c r="A47" s="127" t="s">
        <v>340</v>
      </c>
      <c r="B47" s="32">
        <v>0</v>
      </c>
      <c r="C47" s="21">
        <v>0.03</v>
      </c>
      <c r="D47" s="21">
        <v>0.03</v>
      </c>
      <c r="E47" s="21">
        <v>0.03</v>
      </c>
      <c r="F47" s="21">
        <v>0.03</v>
      </c>
      <c r="G47" s="21">
        <v>0.02</v>
      </c>
      <c r="H47" s="21">
        <v>0.03</v>
      </c>
      <c r="I47" s="21">
        <v>0.03</v>
      </c>
      <c r="J47" s="21">
        <v>0.15</v>
      </c>
      <c r="K47" s="21">
        <v>0.15</v>
      </c>
      <c r="L47" s="21">
        <v>0.15</v>
      </c>
      <c r="M47" s="21">
        <v>0.15</v>
      </c>
      <c r="N47" s="21">
        <v>0.15</v>
      </c>
      <c r="O47" s="21">
        <v>0.15</v>
      </c>
      <c r="P47" s="21">
        <v>0.2</v>
      </c>
      <c r="Q47" s="21">
        <v>0.2</v>
      </c>
      <c r="R47" s="21">
        <v>0.2</v>
      </c>
      <c r="S47" s="32">
        <v>0.12</v>
      </c>
      <c r="T47" s="21">
        <v>0.05</v>
      </c>
      <c r="U47" s="21">
        <v>0.05</v>
      </c>
      <c r="V47" s="21">
        <v>0.05</v>
      </c>
      <c r="W47" s="21">
        <v>0.05</v>
      </c>
      <c r="X47" s="21">
        <v>0.05</v>
      </c>
      <c r="Y47" s="21">
        <v>0.05</v>
      </c>
      <c r="Z47" s="32">
        <v>0.1</v>
      </c>
      <c r="AA47" s="32">
        <v>0.1</v>
      </c>
      <c r="AB47" s="32">
        <v>0.1</v>
      </c>
      <c r="AC47" s="21">
        <v>0</v>
      </c>
      <c r="AK47" s="499"/>
      <c r="AL47" s="499"/>
      <c r="AM47" s="499"/>
      <c r="AN47" s="499"/>
      <c r="AO47" s="499"/>
      <c r="AP47" s="499"/>
    </row>
    <row r="48" spans="1:42" ht="12">
      <c r="A48" s="127" t="s">
        <v>348</v>
      </c>
      <c r="B48" s="32">
        <v>0</v>
      </c>
      <c r="C48" s="21">
        <v>0.07</v>
      </c>
      <c r="D48" s="21">
        <v>0.07</v>
      </c>
      <c r="E48" s="21">
        <v>0.07</v>
      </c>
      <c r="F48" s="21">
        <v>0.07</v>
      </c>
      <c r="G48" s="21">
        <v>0.05</v>
      </c>
      <c r="H48" s="21">
        <v>0.07</v>
      </c>
      <c r="I48" s="21">
        <v>0.07</v>
      </c>
      <c r="J48" s="21">
        <v>0.05</v>
      </c>
      <c r="K48" s="21">
        <v>0.05</v>
      </c>
      <c r="L48" s="21">
        <v>0.05</v>
      </c>
      <c r="M48" s="21">
        <v>0.05</v>
      </c>
      <c r="N48" s="21">
        <v>0.05</v>
      </c>
      <c r="O48" s="21">
        <v>0.05</v>
      </c>
      <c r="P48" s="21">
        <v>0.1</v>
      </c>
      <c r="Q48" s="21">
        <v>0.1</v>
      </c>
      <c r="R48" s="21">
        <v>0.1</v>
      </c>
      <c r="S48" s="32">
        <v>0.13</v>
      </c>
      <c r="T48" s="21">
        <v>0.15</v>
      </c>
      <c r="U48" s="21">
        <v>0.15</v>
      </c>
      <c r="V48" s="21">
        <v>0.15</v>
      </c>
      <c r="W48" s="21">
        <v>0.15</v>
      </c>
      <c r="X48" s="21">
        <v>0.15</v>
      </c>
      <c r="Y48" s="21">
        <v>0.15</v>
      </c>
      <c r="Z48" s="32">
        <v>0.05</v>
      </c>
      <c r="AA48" s="32">
        <v>0.05</v>
      </c>
      <c r="AB48" s="32">
        <v>0.05</v>
      </c>
      <c r="AC48" s="21">
        <v>0</v>
      </c>
      <c r="AK48" s="499"/>
      <c r="AL48" s="499"/>
      <c r="AM48" s="499"/>
      <c r="AN48" s="499"/>
      <c r="AO48" s="499"/>
      <c r="AP48" s="499"/>
    </row>
    <row r="49" spans="3:42" ht="12">
      <c r="C49" s="21"/>
      <c r="D49" s="21"/>
      <c r="E49" s="21"/>
      <c r="F49" s="21"/>
      <c r="G49" s="21"/>
      <c r="H49" s="21"/>
      <c r="I49" s="21"/>
      <c r="J49" s="21"/>
      <c r="K49" s="21"/>
      <c r="L49" s="21"/>
      <c r="M49" s="21"/>
      <c r="N49" s="21"/>
      <c r="O49" s="21"/>
      <c r="P49" s="21"/>
      <c r="Q49" s="21"/>
      <c r="R49" s="21"/>
      <c r="T49" s="21"/>
      <c r="U49" s="21"/>
      <c r="V49" s="21"/>
      <c r="W49" s="21"/>
      <c r="X49" s="21"/>
      <c r="Y49" s="21"/>
      <c r="AK49" s="499"/>
      <c r="AL49" s="499"/>
      <c r="AM49" s="499"/>
      <c r="AN49" s="499"/>
      <c r="AO49" s="499"/>
      <c r="AP49" s="499"/>
    </row>
    <row r="50" spans="3:42" ht="12">
      <c r="C50" s="21">
        <f>SUM(C40:C49)</f>
        <v>1</v>
      </c>
      <c r="D50" s="21">
        <f aca="true" t="shared" si="0" ref="D50:AC50">SUM(D40:D49)</f>
        <v>1</v>
      </c>
      <c r="E50" s="21">
        <f t="shared" si="0"/>
        <v>1</v>
      </c>
      <c r="F50" s="21">
        <f t="shared" si="0"/>
        <v>1</v>
      </c>
      <c r="G50" s="21">
        <f t="shared" si="0"/>
        <v>1</v>
      </c>
      <c r="H50" s="21">
        <f t="shared" si="0"/>
        <v>1</v>
      </c>
      <c r="I50" s="21">
        <f t="shared" si="0"/>
        <v>1</v>
      </c>
      <c r="J50" s="21">
        <f t="shared" si="0"/>
        <v>1</v>
      </c>
      <c r="K50" s="21">
        <f t="shared" si="0"/>
        <v>1</v>
      </c>
      <c r="L50" s="21">
        <f t="shared" si="0"/>
        <v>1</v>
      </c>
      <c r="M50" s="21">
        <f t="shared" si="0"/>
        <v>1</v>
      </c>
      <c r="N50" s="21">
        <f t="shared" si="0"/>
        <v>1</v>
      </c>
      <c r="O50" s="21">
        <f t="shared" si="0"/>
        <v>1</v>
      </c>
      <c r="P50" s="21">
        <f t="shared" si="0"/>
        <v>0.9999999999999999</v>
      </c>
      <c r="Q50" s="21">
        <f t="shared" si="0"/>
        <v>0.9999999999999999</v>
      </c>
      <c r="R50" s="21">
        <f t="shared" si="0"/>
        <v>0.9999999999999999</v>
      </c>
      <c r="S50" s="21">
        <f t="shared" si="0"/>
        <v>1</v>
      </c>
      <c r="T50" s="21">
        <f t="shared" si="0"/>
        <v>1</v>
      </c>
      <c r="U50" s="21">
        <f t="shared" si="0"/>
        <v>1</v>
      </c>
      <c r="V50" s="21">
        <f t="shared" si="0"/>
        <v>1</v>
      </c>
      <c r="W50" s="21">
        <f t="shared" si="0"/>
        <v>1</v>
      </c>
      <c r="X50" s="21">
        <f t="shared" si="0"/>
        <v>1</v>
      </c>
      <c r="Y50" s="21">
        <f t="shared" si="0"/>
        <v>1</v>
      </c>
      <c r="Z50" s="21">
        <f t="shared" si="0"/>
        <v>1</v>
      </c>
      <c r="AA50" s="21">
        <f t="shared" si="0"/>
        <v>1</v>
      </c>
      <c r="AB50" s="21">
        <f t="shared" si="0"/>
        <v>1</v>
      </c>
      <c r="AC50" s="21">
        <f t="shared" si="0"/>
        <v>0</v>
      </c>
      <c r="AK50" s="499"/>
      <c r="AL50" s="499"/>
      <c r="AM50" s="499"/>
      <c r="AN50" s="499"/>
      <c r="AO50" s="499"/>
      <c r="AP50" s="499"/>
    </row>
    <row r="51" spans="1:42" ht="12">
      <c r="A51" s="126" t="s">
        <v>380</v>
      </c>
      <c r="AK51" s="499"/>
      <c r="AL51" s="499"/>
      <c r="AM51" s="499"/>
      <c r="AN51" s="499"/>
      <c r="AO51" s="499"/>
      <c r="AP51" s="499"/>
    </row>
    <row r="52" spans="2:42" ht="12">
      <c r="B52" s="129" t="s">
        <v>343</v>
      </c>
      <c r="AK52" s="499"/>
      <c r="AL52" s="499"/>
      <c r="AM52" s="499"/>
      <c r="AN52" s="499"/>
      <c r="AO52" s="499"/>
      <c r="AP52" s="499"/>
    </row>
    <row r="53" spans="1:42" ht="12">
      <c r="A53" s="32">
        <v>0</v>
      </c>
      <c r="B53" s="129">
        <v>3.0661</v>
      </c>
      <c r="C53" s="130"/>
      <c r="E53" s="128" t="s">
        <v>316</v>
      </c>
      <c r="F53" s="130" t="s">
        <v>341</v>
      </c>
      <c r="G53" s="130" t="s">
        <v>342</v>
      </c>
      <c r="H53" s="129" t="s">
        <v>343</v>
      </c>
      <c r="AK53" s="499"/>
      <c r="AL53" s="499"/>
      <c r="AM53" s="499"/>
      <c r="AN53" s="499"/>
      <c r="AO53" s="499"/>
      <c r="AP53" s="499"/>
    </row>
    <row r="54" spans="1:42" ht="12">
      <c r="A54" s="426">
        <v>516.4568990894865</v>
      </c>
      <c r="B54" s="129">
        <v>3.0661</v>
      </c>
      <c r="C54" s="130"/>
      <c r="E54" s="130">
        <v>1</v>
      </c>
      <c r="F54" s="130">
        <v>1000000</v>
      </c>
      <c r="G54" s="130">
        <v>1</v>
      </c>
      <c r="H54" s="129">
        <v>3.0661</v>
      </c>
      <c r="I54" s="21"/>
      <c r="J54" s="21"/>
      <c r="K54" s="21"/>
      <c r="L54" s="21"/>
      <c r="AK54" s="499"/>
      <c r="AL54" s="499"/>
      <c r="AM54" s="499"/>
      <c r="AN54" s="499"/>
      <c r="AO54" s="499"/>
      <c r="AP54" s="499"/>
    </row>
    <row r="55" spans="1:42" ht="12">
      <c r="A55" s="426">
        <v>1032.913798178973</v>
      </c>
      <c r="B55" s="129">
        <v>2.6982</v>
      </c>
      <c r="C55" s="130"/>
      <c r="E55" s="130">
        <v>2</v>
      </c>
      <c r="F55" s="130">
        <v>2000000</v>
      </c>
      <c r="G55" s="130">
        <v>2</v>
      </c>
      <c r="H55" s="129">
        <v>2.6982</v>
      </c>
      <c r="I55" s="22"/>
      <c r="J55" s="125"/>
      <c r="K55" s="125" t="s">
        <v>330</v>
      </c>
      <c r="L55" s="125" t="s">
        <v>331</v>
      </c>
      <c r="AK55" s="499"/>
      <c r="AL55" s="499"/>
      <c r="AM55" s="499"/>
      <c r="AN55" s="499"/>
      <c r="AO55" s="499"/>
      <c r="AP55" s="499"/>
    </row>
    <row r="56" spans="1:42" ht="12">
      <c r="A56" s="426">
        <v>1549.3706972684595</v>
      </c>
      <c r="B56" s="129">
        <v>2.4529</v>
      </c>
      <c r="C56" s="130"/>
      <c r="E56" s="130">
        <v>3</v>
      </c>
      <c r="F56" s="130">
        <v>3000000</v>
      </c>
      <c r="G56" s="130">
        <v>3</v>
      </c>
      <c r="H56" s="129">
        <v>2.4529</v>
      </c>
      <c r="I56" s="21"/>
      <c r="J56" s="21"/>
      <c r="K56" s="21"/>
      <c r="L56" s="21"/>
      <c r="AK56" s="499"/>
      <c r="AL56" s="499"/>
      <c r="AM56" s="499"/>
      <c r="AN56" s="499"/>
      <c r="AO56" s="499"/>
      <c r="AP56" s="499"/>
    </row>
    <row r="57" spans="1:42" ht="12">
      <c r="A57" s="426">
        <v>2582.2844954474326</v>
      </c>
      <c r="B57" s="129">
        <v>2.1463</v>
      </c>
      <c r="C57" s="130"/>
      <c r="E57" s="130">
        <v>4</v>
      </c>
      <c r="F57" s="131">
        <v>5000000</v>
      </c>
      <c r="G57" s="130">
        <v>4</v>
      </c>
      <c r="H57" s="129">
        <v>2.1463</v>
      </c>
      <c r="I57" s="21"/>
      <c r="J57" s="21"/>
      <c r="K57" s="21"/>
      <c r="L57" s="21"/>
      <c r="AK57" s="499"/>
      <c r="AL57" s="499"/>
      <c r="AM57" s="499"/>
      <c r="AN57" s="499"/>
      <c r="AO57" s="499"/>
      <c r="AP57" s="499"/>
    </row>
    <row r="58" spans="1:42" ht="12">
      <c r="A58" s="426">
        <v>5164.568990894865</v>
      </c>
      <c r="B58" s="129">
        <v>1.4717</v>
      </c>
      <c r="C58" s="130"/>
      <c r="E58" s="130">
        <v>5</v>
      </c>
      <c r="F58" s="131">
        <v>10000000</v>
      </c>
      <c r="G58" s="130">
        <v>5</v>
      </c>
      <c r="H58" s="129">
        <v>1.4717</v>
      </c>
      <c r="I58" s="21"/>
      <c r="J58" s="21"/>
      <c r="K58" s="21">
        <v>0.1</v>
      </c>
      <c r="L58" s="21">
        <v>1</v>
      </c>
      <c r="AK58" s="499"/>
      <c r="AL58" s="499"/>
      <c r="AM58" s="499"/>
      <c r="AN58" s="499"/>
      <c r="AO58" s="499"/>
      <c r="AP58" s="499"/>
    </row>
    <row r="59" spans="1:42" ht="12">
      <c r="A59" s="426">
        <v>7746.853486342297</v>
      </c>
      <c r="B59" s="129">
        <v>1.0731</v>
      </c>
      <c r="C59" s="130"/>
      <c r="E59" s="130">
        <v>6</v>
      </c>
      <c r="F59" s="131">
        <v>15000000</v>
      </c>
      <c r="G59" s="130">
        <v>6</v>
      </c>
      <c r="H59" s="129">
        <v>1.0731</v>
      </c>
      <c r="I59" s="21"/>
      <c r="J59" s="21"/>
      <c r="K59" s="21">
        <v>0.03</v>
      </c>
      <c r="L59" s="21">
        <v>0</v>
      </c>
      <c r="AK59" s="499"/>
      <c r="AL59" s="499"/>
      <c r="AM59" s="499"/>
      <c r="AN59" s="499"/>
      <c r="AO59" s="499"/>
      <c r="AP59" s="499"/>
    </row>
    <row r="60" spans="1:42" ht="12">
      <c r="A60" s="426">
        <v>10329.13798178973</v>
      </c>
      <c r="B60" s="129">
        <v>0.8892</v>
      </c>
      <c r="C60" s="130"/>
      <c r="E60" s="130">
        <v>7</v>
      </c>
      <c r="F60" s="130">
        <v>20000000</v>
      </c>
      <c r="G60" s="130">
        <v>7</v>
      </c>
      <c r="H60" s="129">
        <v>0.8892</v>
      </c>
      <c r="I60" s="21"/>
      <c r="J60" s="21"/>
      <c r="K60" s="21">
        <v>0.15</v>
      </c>
      <c r="L60" s="21">
        <v>0</v>
      </c>
      <c r="AK60" s="499"/>
      <c r="AL60" s="499"/>
      <c r="AM60" s="499"/>
      <c r="AN60" s="499"/>
      <c r="AO60" s="499"/>
      <c r="AP60" s="499"/>
    </row>
    <row r="61" spans="1:42" ht="12">
      <c r="A61" s="426">
        <v>15493.706972684595</v>
      </c>
      <c r="B61" s="129">
        <v>0.6439</v>
      </c>
      <c r="C61" s="130"/>
      <c r="E61" s="130">
        <v>8</v>
      </c>
      <c r="F61" s="130">
        <v>30000000</v>
      </c>
      <c r="G61" s="130">
        <v>8</v>
      </c>
      <c r="H61" s="129">
        <v>0.6439</v>
      </c>
      <c r="I61" s="21"/>
      <c r="J61" s="21"/>
      <c r="K61" s="21">
        <v>0.05</v>
      </c>
      <c r="L61" s="21">
        <v>0</v>
      </c>
      <c r="AK61" s="499"/>
      <c r="AL61" s="499"/>
      <c r="AM61" s="499"/>
      <c r="AN61" s="499"/>
      <c r="AO61" s="499"/>
      <c r="AP61" s="499"/>
    </row>
    <row r="62" spans="1:42" ht="12">
      <c r="A62" s="426">
        <v>20658.27596357946</v>
      </c>
      <c r="B62" s="129">
        <v>0.5519</v>
      </c>
      <c r="C62" s="130"/>
      <c r="E62" s="130">
        <v>9</v>
      </c>
      <c r="F62" s="130">
        <v>40000000</v>
      </c>
      <c r="G62" s="130">
        <v>9</v>
      </c>
      <c r="H62" s="129">
        <v>0.5519</v>
      </c>
      <c r="I62" s="21"/>
      <c r="J62" s="21"/>
      <c r="K62" s="21">
        <v>0.12</v>
      </c>
      <c r="L62" s="21">
        <v>0</v>
      </c>
      <c r="AK62" s="499"/>
      <c r="AL62" s="499"/>
      <c r="AM62" s="499"/>
      <c r="AN62" s="499"/>
      <c r="AO62" s="499"/>
      <c r="AP62" s="499"/>
    </row>
    <row r="63" spans="1:42" ht="12">
      <c r="A63" s="426">
        <v>25822.844954474323</v>
      </c>
      <c r="B63" s="129">
        <v>0.4752</v>
      </c>
      <c r="C63" s="130"/>
      <c r="E63" s="130">
        <v>10</v>
      </c>
      <c r="F63" s="130">
        <v>50000000</v>
      </c>
      <c r="G63" s="130">
        <v>10</v>
      </c>
      <c r="H63" s="129">
        <v>0.4752</v>
      </c>
      <c r="I63" s="21"/>
      <c r="J63" s="21"/>
      <c r="K63" s="21">
        <v>0.1</v>
      </c>
      <c r="L63" s="21">
        <v>0</v>
      </c>
      <c r="AK63" s="499"/>
      <c r="AL63" s="499"/>
      <c r="AM63" s="499"/>
      <c r="AN63" s="499"/>
      <c r="AO63" s="499"/>
      <c r="AP63" s="499"/>
    </row>
    <row r="64" spans="1:42" ht="12">
      <c r="A64" s="426">
        <v>30987.41394536919</v>
      </c>
      <c r="B64" s="129">
        <v>0.4293</v>
      </c>
      <c r="C64" s="130"/>
      <c r="E64" s="130">
        <v>11</v>
      </c>
      <c r="F64" s="130">
        <v>60000000</v>
      </c>
      <c r="G64" s="130">
        <v>11</v>
      </c>
      <c r="H64" s="129">
        <v>0.4293</v>
      </c>
      <c r="I64" s="21"/>
      <c r="J64" s="21"/>
      <c r="K64" s="21">
        <v>0.25</v>
      </c>
      <c r="L64" s="21">
        <v>0</v>
      </c>
      <c r="AK64" s="499"/>
      <c r="AL64" s="499"/>
      <c r="AM64" s="499"/>
      <c r="AN64" s="499"/>
      <c r="AO64" s="499"/>
      <c r="AP64" s="499"/>
    </row>
    <row r="65" spans="1:42" ht="12">
      <c r="A65" s="426">
        <v>36151.98293626405</v>
      </c>
      <c r="B65" s="129">
        <v>0.3986</v>
      </c>
      <c r="C65" s="130"/>
      <c r="E65" s="130">
        <v>12</v>
      </c>
      <c r="F65" s="130">
        <v>70000000</v>
      </c>
      <c r="G65" s="130">
        <v>12</v>
      </c>
      <c r="H65" s="129">
        <v>0.3986</v>
      </c>
      <c r="I65" s="22"/>
      <c r="J65" s="22"/>
      <c r="K65" s="22" t="s">
        <v>334</v>
      </c>
      <c r="L65" s="22" t="s">
        <v>334</v>
      </c>
      <c r="AK65" s="499"/>
      <c r="AL65" s="499"/>
      <c r="AM65" s="499"/>
      <c r="AN65" s="499"/>
      <c r="AO65" s="499"/>
      <c r="AP65" s="499"/>
    </row>
    <row r="66" spans="1:42" ht="12">
      <c r="A66" s="426">
        <v>41316.55192715892</v>
      </c>
      <c r="B66" s="129">
        <v>0.3833</v>
      </c>
      <c r="C66" s="130"/>
      <c r="E66" s="130">
        <v>13</v>
      </c>
      <c r="F66" s="130">
        <v>80000000</v>
      </c>
      <c r="G66" s="130">
        <v>13</v>
      </c>
      <c r="H66" s="129">
        <v>0.3833</v>
      </c>
      <c r="I66" s="21"/>
      <c r="J66" s="21"/>
      <c r="K66" s="21">
        <v>0.05</v>
      </c>
      <c r="L66" s="21">
        <v>0</v>
      </c>
      <c r="AK66" s="499"/>
      <c r="AL66" s="499"/>
      <c r="AM66" s="499"/>
      <c r="AN66" s="499"/>
      <c r="AO66" s="499"/>
      <c r="AP66" s="499"/>
    </row>
    <row r="67" spans="1:42" ht="12">
      <c r="A67" s="426">
        <v>46481.120918053784</v>
      </c>
      <c r="B67" s="129">
        <v>0.3679</v>
      </c>
      <c r="C67" s="130"/>
      <c r="E67" s="130">
        <v>14</v>
      </c>
      <c r="F67" s="131">
        <v>90000000</v>
      </c>
      <c r="G67" s="130">
        <v>14</v>
      </c>
      <c r="H67" s="129">
        <v>0.3679</v>
      </c>
      <c r="I67" s="21"/>
      <c r="J67" s="21"/>
      <c r="K67" s="21">
        <v>0.15</v>
      </c>
      <c r="L67" s="21">
        <v>0</v>
      </c>
      <c r="AK67" s="499"/>
      <c r="AL67" s="499"/>
      <c r="AM67" s="499"/>
      <c r="AN67" s="499"/>
      <c r="AO67" s="499"/>
      <c r="AP67" s="499"/>
    </row>
    <row r="68" spans="1:42" ht="12">
      <c r="A68" s="426">
        <v>51645.68990894865</v>
      </c>
      <c r="B68" s="129">
        <v>0.3526</v>
      </c>
      <c r="C68" s="130"/>
      <c r="E68" s="130">
        <v>15</v>
      </c>
      <c r="F68" s="130">
        <v>100000000</v>
      </c>
      <c r="G68" s="130">
        <v>15</v>
      </c>
      <c r="H68" s="129">
        <v>0.3526</v>
      </c>
      <c r="I68" s="21"/>
      <c r="J68" s="21"/>
      <c r="K68" s="21"/>
      <c r="L68" s="21"/>
      <c r="AK68" s="499"/>
      <c r="AL68" s="499"/>
      <c r="AM68" s="499"/>
      <c r="AN68" s="499"/>
      <c r="AO68" s="499"/>
      <c r="AP68" s="499"/>
    </row>
    <row r="69" spans="1:42" ht="12">
      <c r="A69" s="426">
        <v>77468.53486342297</v>
      </c>
      <c r="B69" s="129">
        <v>0.279</v>
      </c>
      <c r="C69" s="130"/>
      <c r="E69" s="130">
        <v>16</v>
      </c>
      <c r="F69" s="130">
        <v>150000000</v>
      </c>
      <c r="G69" s="130">
        <v>16</v>
      </c>
      <c r="H69" s="129">
        <v>0.279</v>
      </c>
      <c r="I69" s="21"/>
      <c r="J69" s="21"/>
      <c r="K69" s="21">
        <v>1</v>
      </c>
      <c r="L69" s="21">
        <v>1</v>
      </c>
      <c r="AK69" s="499"/>
      <c r="AL69" s="499"/>
      <c r="AM69" s="499"/>
      <c r="AN69" s="499"/>
      <c r="AO69" s="499"/>
      <c r="AP69" s="499"/>
    </row>
    <row r="70" spans="1:42" ht="12">
      <c r="A70" s="426">
        <v>103291.3798178973</v>
      </c>
      <c r="B70" s="129">
        <v>0.2361</v>
      </c>
      <c r="C70" s="130"/>
      <c r="E70" s="130">
        <v>17</v>
      </c>
      <c r="F70" s="130">
        <v>200000000</v>
      </c>
      <c r="G70" s="130">
        <v>17</v>
      </c>
      <c r="H70" s="129">
        <v>0.2361</v>
      </c>
      <c r="AK70" s="499"/>
      <c r="AL70" s="499"/>
      <c r="AM70" s="499"/>
      <c r="AN70" s="499"/>
      <c r="AO70" s="499"/>
      <c r="AP70" s="499"/>
    </row>
    <row r="71" spans="1:42" ht="12">
      <c r="A71" s="426">
        <v>154937.06972684595</v>
      </c>
      <c r="B71" s="129">
        <v>0.1901</v>
      </c>
      <c r="C71" s="130"/>
      <c r="E71" s="130">
        <v>18</v>
      </c>
      <c r="F71" s="130">
        <v>300000000</v>
      </c>
      <c r="G71" s="130">
        <v>18</v>
      </c>
      <c r="H71" s="129">
        <v>0.1901</v>
      </c>
      <c r="AK71" s="499"/>
      <c r="AL71" s="499"/>
      <c r="AM71" s="499"/>
      <c r="AN71" s="499"/>
      <c r="AO71" s="499"/>
      <c r="AP71" s="499"/>
    </row>
    <row r="72" spans="1:42" ht="12">
      <c r="A72" s="426">
        <v>258228.44954474326</v>
      </c>
      <c r="B72" s="129">
        <v>0.1502</v>
      </c>
      <c r="C72" s="130"/>
      <c r="E72" s="130">
        <v>19</v>
      </c>
      <c r="F72" s="131">
        <v>500000000</v>
      </c>
      <c r="G72" s="130">
        <v>19</v>
      </c>
      <c r="H72" s="129">
        <v>0.1502</v>
      </c>
      <c r="AK72" s="499"/>
      <c r="AL72" s="499"/>
      <c r="AM72" s="499"/>
      <c r="AN72" s="499"/>
      <c r="AO72" s="499"/>
      <c r="AP72" s="499"/>
    </row>
    <row r="73" spans="1:42" ht="12">
      <c r="A73" s="426">
        <v>516456.8990894865</v>
      </c>
      <c r="B73" s="129">
        <v>0.1502</v>
      </c>
      <c r="C73" s="130"/>
      <c r="E73" s="130">
        <v>20</v>
      </c>
      <c r="F73" s="131">
        <v>1000000000</v>
      </c>
      <c r="G73" s="130">
        <v>20</v>
      </c>
      <c r="H73" s="129">
        <v>0.1502</v>
      </c>
      <c r="AK73" s="499"/>
      <c r="AL73" s="499"/>
      <c r="AM73" s="499"/>
      <c r="AN73" s="499"/>
      <c r="AO73" s="499"/>
      <c r="AP73" s="499"/>
    </row>
    <row r="74" spans="1:42" ht="12">
      <c r="A74" s="426">
        <v>516456382.6325874</v>
      </c>
      <c r="B74" s="129">
        <v>0.1502</v>
      </c>
      <c r="C74" s="130"/>
      <c r="E74" s="130">
        <v>21</v>
      </c>
      <c r="F74" s="130">
        <v>999999000000</v>
      </c>
      <c r="G74" s="130">
        <v>21</v>
      </c>
      <c r="H74" s="129">
        <v>0.1502</v>
      </c>
      <c r="AK74" s="499"/>
      <c r="AL74" s="499"/>
      <c r="AM74" s="499"/>
      <c r="AN74" s="499"/>
      <c r="AO74" s="499"/>
      <c r="AP74" s="499"/>
    </row>
    <row r="75" spans="2:42" ht="12">
      <c r="B75" s="130"/>
      <c r="C75" s="130"/>
      <c r="D75" s="129"/>
      <c r="E75" s="130">
        <v>22</v>
      </c>
      <c r="F75" s="130"/>
      <c r="G75" s="130"/>
      <c r="H75" s="129"/>
      <c r="AK75" s="499"/>
      <c r="AL75" s="499"/>
      <c r="AM75" s="499"/>
      <c r="AN75" s="499"/>
      <c r="AO75" s="499"/>
      <c r="AP75" s="499"/>
    </row>
    <row r="76" spans="37:42" ht="12">
      <c r="AK76" s="499"/>
      <c r="AL76" s="499"/>
      <c r="AM76" s="499"/>
      <c r="AN76" s="499"/>
      <c r="AO76" s="499"/>
      <c r="AP76" s="499"/>
    </row>
    <row r="77" spans="1:42" ht="12">
      <c r="A77" s="126" t="s">
        <v>297</v>
      </c>
      <c r="AK77" s="499"/>
      <c r="AL77" s="499"/>
      <c r="AM77" s="499"/>
      <c r="AN77" s="499"/>
      <c r="AO77" s="499"/>
      <c r="AP77" s="499"/>
    </row>
    <row r="78" spans="1:42" ht="12">
      <c r="A78" s="130" t="s">
        <v>341</v>
      </c>
      <c r="B78" s="132" t="s">
        <v>343</v>
      </c>
      <c r="E78" s="128" t="s">
        <v>316</v>
      </c>
      <c r="F78" s="130" t="s">
        <v>341</v>
      </c>
      <c r="G78" s="130" t="s">
        <v>342</v>
      </c>
      <c r="H78" s="132" t="s">
        <v>343</v>
      </c>
      <c r="AK78" s="499"/>
      <c r="AL78" s="499"/>
      <c r="AM78" s="499"/>
      <c r="AN78" s="499"/>
      <c r="AO78" s="499"/>
      <c r="AP78" s="499"/>
    </row>
    <row r="79" spans="1:42" ht="12">
      <c r="A79" s="131">
        <v>1</v>
      </c>
      <c r="B79" s="132">
        <v>2.8</v>
      </c>
      <c r="E79" s="130">
        <v>1</v>
      </c>
      <c r="F79" s="130">
        <v>1</v>
      </c>
      <c r="G79" s="130">
        <v>1</v>
      </c>
      <c r="H79" s="132">
        <v>2.8</v>
      </c>
      <c r="AK79" s="499"/>
      <c r="AL79" s="499"/>
      <c r="AM79" s="499"/>
      <c r="AN79" s="499"/>
      <c r="AO79" s="499"/>
      <c r="AP79" s="499"/>
    </row>
    <row r="80" spans="1:42" ht="12">
      <c r="A80" s="131">
        <v>10000</v>
      </c>
      <c r="B80" s="132">
        <v>2.8</v>
      </c>
      <c r="E80" s="130">
        <v>2</v>
      </c>
      <c r="F80" s="130">
        <v>10000</v>
      </c>
      <c r="G80" s="130">
        <v>2</v>
      </c>
      <c r="H80" s="132">
        <v>2.8</v>
      </c>
      <c r="AK80" s="499"/>
      <c r="AL80" s="499"/>
      <c r="AM80" s="499"/>
      <c r="AN80" s="499"/>
      <c r="AO80" s="499"/>
      <c r="AP80" s="499"/>
    </row>
    <row r="81" spans="1:42" ht="12">
      <c r="A81" s="131">
        <v>20000</v>
      </c>
      <c r="B81" s="132">
        <v>1.8</v>
      </c>
      <c r="E81" s="130">
        <v>3</v>
      </c>
      <c r="F81" s="130">
        <v>20000</v>
      </c>
      <c r="G81" s="130">
        <v>3</v>
      </c>
      <c r="H81" s="132">
        <v>1.8</v>
      </c>
      <c r="AK81" s="499"/>
      <c r="AL81" s="499"/>
      <c r="AM81" s="499"/>
      <c r="AN81" s="499"/>
      <c r="AO81" s="499"/>
      <c r="AP81" s="499"/>
    </row>
    <row r="82" spans="1:42" ht="12">
      <c r="A82" s="131">
        <v>30000</v>
      </c>
      <c r="B82" s="132">
        <v>1.5</v>
      </c>
      <c r="E82" s="130">
        <v>4</v>
      </c>
      <c r="F82" s="130">
        <v>30000</v>
      </c>
      <c r="G82" s="130">
        <v>4</v>
      </c>
      <c r="H82" s="132">
        <v>1.5</v>
      </c>
      <c r="AK82" s="499"/>
      <c r="AL82" s="499"/>
      <c r="AM82" s="499"/>
      <c r="AN82" s="499"/>
      <c r="AO82" s="499"/>
      <c r="AP82" s="499"/>
    </row>
    <row r="83" spans="1:42" ht="12">
      <c r="A83" s="131">
        <v>50000</v>
      </c>
      <c r="B83" s="132">
        <v>1.3</v>
      </c>
      <c r="E83" s="130">
        <v>5</v>
      </c>
      <c r="F83" s="130">
        <v>50000</v>
      </c>
      <c r="G83" s="130">
        <v>5</v>
      </c>
      <c r="H83" s="132">
        <v>1.3</v>
      </c>
      <c r="AK83" s="499"/>
      <c r="AL83" s="499"/>
      <c r="AM83" s="499"/>
      <c r="AN83" s="499"/>
      <c r="AO83" s="499"/>
      <c r="AP83" s="499"/>
    </row>
    <row r="84" spans="1:42" ht="12">
      <c r="A84" s="131">
        <v>100000</v>
      </c>
      <c r="B84" s="132">
        <v>1</v>
      </c>
      <c r="E84" s="130">
        <v>6</v>
      </c>
      <c r="F84" s="130">
        <v>100000</v>
      </c>
      <c r="G84" s="130">
        <v>6</v>
      </c>
      <c r="H84" s="132">
        <v>1</v>
      </c>
      <c r="AK84" s="499"/>
      <c r="AL84" s="499"/>
      <c r="AM84" s="499"/>
      <c r="AN84" s="499"/>
      <c r="AO84" s="499"/>
      <c r="AP84" s="499"/>
    </row>
    <row r="85" spans="1:42" ht="12">
      <c r="A85" s="131">
        <v>250000</v>
      </c>
      <c r="B85" s="132">
        <v>0.9</v>
      </c>
      <c r="E85" s="130">
        <v>7</v>
      </c>
      <c r="F85" s="130">
        <v>250000</v>
      </c>
      <c r="G85" s="130">
        <v>7</v>
      </c>
      <c r="H85" s="132">
        <v>0.9</v>
      </c>
      <c r="AK85" s="499"/>
      <c r="AL85" s="499"/>
      <c r="AM85" s="499"/>
      <c r="AN85" s="499"/>
      <c r="AO85" s="499"/>
      <c r="AP85" s="499"/>
    </row>
    <row r="86" spans="1:42" ht="12">
      <c r="A86" s="131">
        <v>500000</v>
      </c>
      <c r="B86" s="132">
        <v>0.8</v>
      </c>
      <c r="E86" s="130">
        <v>8</v>
      </c>
      <c r="F86" s="130">
        <v>500000</v>
      </c>
      <c r="G86" s="130">
        <v>8</v>
      </c>
      <c r="H86" s="132">
        <v>0.8</v>
      </c>
      <c r="AK86" s="499"/>
      <c r="AL86" s="499"/>
      <c r="AM86" s="499"/>
      <c r="AN86" s="499"/>
      <c r="AO86" s="499"/>
      <c r="AP86" s="499"/>
    </row>
    <row r="87" spans="1:42" ht="12">
      <c r="A87" s="131">
        <v>1000000</v>
      </c>
      <c r="B87" s="132">
        <v>0.7</v>
      </c>
      <c r="E87" s="130">
        <v>9</v>
      </c>
      <c r="F87" s="130">
        <v>1000000</v>
      </c>
      <c r="G87" s="130">
        <v>9</v>
      </c>
      <c r="H87" s="132">
        <v>0.7</v>
      </c>
      <c r="AK87" s="499"/>
      <c r="AL87" s="499"/>
      <c r="AM87" s="499"/>
      <c r="AN87" s="499"/>
      <c r="AO87" s="499"/>
      <c r="AP87" s="499"/>
    </row>
    <row r="88" spans="1:42" ht="12">
      <c r="A88" s="131">
        <v>100000000</v>
      </c>
      <c r="B88" s="132">
        <v>0.5</v>
      </c>
      <c r="E88" s="130">
        <v>10</v>
      </c>
      <c r="F88" s="130">
        <v>100000000</v>
      </c>
      <c r="G88" s="130">
        <v>10</v>
      </c>
      <c r="H88" s="132">
        <v>0.5</v>
      </c>
      <c r="AK88" s="499"/>
      <c r="AL88" s="499"/>
      <c r="AM88" s="499"/>
      <c r="AN88" s="499"/>
      <c r="AO88" s="499"/>
      <c r="AP88" s="499"/>
    </row>
    <row r="89" spans="37:42" ht="12">
      <c r="AK89" s="499"/>
      <c r="AL89" s="499"/>
      <c r="AM89" s="499"/>
      <c r="AN89" s="499"/>
      <c r="AO89" s="499"/>
      <c r="AP89" s="499"/>
    </row>
    <row r="90" spans="37:42" ht="12">
      <c r="AK90" s="499"/>
      <c r="AL90" s="499"/>
      <c r="AM90" s="499"/>
      <c r="AN90" s="499"/>
      <c r="AO90" s="499"/>
      <c r="AP90" s="499"/>
    </row>
    <row r="91" spans="37:42" ht="12">
      <c r="AK91" s="499"/>
      <c r="AL91" s="499"/>
      <c r="AM91" s="499"/>
      <c r="AN91" s="499"/>
      <c r="AO91" s="499"/>
      <c r="AP91" s="499"/>
    </row>
    <row r="92" spans="2:42" ht="12">
      <c r="B92" s="133" t="s">
        <v>343</v>
      </c>
      <c r="E92" s="128" t="s">
        <v>316</v>
      </c>
      <c r="F92" s="130" t="s">
        <v>344</v>
      </c>
      <c r="G92" s="130" t="s">
        <v>342</v>
      </c>
      <c r="H92" s="133" t="s">
        <v>343</v>
      </c>
      <c r="AK92" s="499"/>
      <c r="AL92" s="499"/>
      <c r="AM92" s="499"/>
      <c r="AN92" s="499"/>
      <c r="AO92" s="499"/>
      <c r="AP92" s="499"/>
    </row>
    <row r="93" spans="1:42" ht="12">
      <c r="A93" s="32">
        <v>0</v>
      </c>
      <c r="B93" s="133">
        <v>0.55</v>
      </c>
      <c r="E93" s="130">
        <v>1</v>
      </c>
      <c r="F93" s="130">
        <v>1</v>
      </c>
      <c r="G93" s="130">
        <v>1</v>
      </c>
      <c r="H93" s="133">
        <v>0.55</v>
      </c>
      <c r="AK93" s="499"/>
      <c r="AL93" s="499"/>
      <c r="AM93" s="499"/>
      <c r="AN93" s="499"/>
      <c r="AO93" s="499"/>
      <c r="AP93" s="499"/>
    </row>
    <row r="94" spans="1:42" ht="12">
      <c r="A94" s="32">
        <v>258.2284495447432</v>
      </c>
      <c r="B94" s="133">
        <v>0.55</v>
      </c>
      <c r="E94" s="130">
        <v>2</v>
      </c>
      <c r="F94" s="130">
        <v>500000</v>
      </c>
      <c r="G94" s="130">
        <v>2</v>
      </c>
      <c r="H94" s="133">
        <v>0.55</v>
      </c>
      <c r="AK94" s="499"/>
      <c r="AL94" s="499"/>
      <c r="AM94" s="499"/>
      <c r="AN94" s="499"/>
      <c r="AO94" s="499"/>
      <c r="AP94" s="499"/>
    </row>
    <row r="95" spans="1:42" ht="12">
      <c r="A95" s="32">
        <v>516.4568990894865</v>
      </c>
      <c r="B95" s="133">
        <v>0.5</v>
      </c>
      <c r="E95" s="130">
        <v>3</v>
      </c>
      <c r="F95" s="130">
        <v>1000000</v>
      </c>
      <c r="G95" s="130">
        <v>3</v>
      </c>
      <c r="H95" s="133">
        <v>0.5</v>
      </c>
      <c r="AK95" s="499"/>
      <c r="AL95" s="499"/>
      <c r="AM95" s="499"/>
      <c r="AN95" s="499"/>
      <c r="AO95" s="499"/>
      <c r="AP95" s="499"/>
    </row>
    <row r="96" spans="1:42" ht="12">
      <c r="A96" s="32">
        <v>1291.1422477237163</v>
      </c>
      <c r="B96" s="133">
        <v>0.45</v>
      </c>
      <c r="E96" s="130">
        <v>4</v>
      </c>
      <c r="F96" s="130">
        <v>2500000</v>
      </c>
      <c r="G96" s="130">
        <v>4</v>
      </c>
      <c r="H96" s="133">
        <v>0.45</v>
      </c>
      <c r="AK96" s="499"/>
      <c r="AL96" s="499"/>
      <c r="AM96" s="499"/>
      <c r="AN96" s="499"/>
      <c r="AO96" s="499"/>
      <c r="AP96" s="499"/>
    </row>
    <row r="97" spans="1:42" ht="12">
      <c r="A97" s="32">
        <v>2582.2844954474326</v>
      </c>
      <c r="B97" s="133">
        <v>0.41</v>
      </c>
      <c r="E97" s="130">
        <v>5</v>
      </c>
      <c r="F97" s="130">
        <v>5000000</v>
      </c>
      <c r="G97" s="130">
        <v>5</v>
      </c>
      <c r="H97" s="133">
        <v>0.41</v>
      </c>
      <c r="AK97" s="499"/>
      <c r="AL97" s="499"/>
      <c r="AM97" s="499"/>
      <c r="AN97" s="499"/>
      <c r="AO97" s="499"/>
      <c r="AP97" s="499"/>
    </row>
    <row r="98" spans="1:42" ht="12">
      <c r="A98" s="32">
        <v>3873.4267431711487</v>
      </c>
      <c r="B98" s="133">
        <v>0.38</v>
      </c>
      <c r="E98" s="130">
        <v>6</v>
      </c>
      <c r="F98" s="130">
        <v>7500000</v>
      </c>
      <c r="G98" s="130">
        <v>6</v>
      </c>
      <c r="H98" s="133">
        <v>0.38</v>
      </c>
      <c r="AK98" s="499"/>
      <c r="AL98" s="499"/>
      <c r="AM98" s="499"/>
      <c r="AN98" s="499"/>
      <c r="AO98" s="499"/>
      <c r="AP98" s="499"/>
    </row>
    <row r="99" spans="1:42" ht="12">
      <c r="A99" s="32">
        <v>5164.568990894865</v>
      </c>
      <c r="B99" s="133">
        <v>0.35</v>
      </c>
      <c r="E99" s="130">
        <v>7</v>
      </c>
      <c r="F99" s="130">
        <v>10000000</v>
      </c>
      <c r="G99" s="130">
        <v>7</v>
      </c>
      <c r="H99" s="133">
        <v>0.35</v>
      </c>
      <c r="AK99" s="499"/>
      <c r="AL99" s="499"/>
      <c r="AM99" s="499"/>
      <c r="AN99" s="499"/>
      <c r="AO99" s="499"/>
      <c r="AP99" s="499"/>
    </row>
    <row r="100" spans="1:42" ht="12">
      <c r="A100" s="32">
        <v>7746.853486342297</v>
      </c>
      <c r="B100" s="133">
        <v>0.31</v>
      </c>
      <c r="E100" s="130">
        <v>8</v>
      </c>
      <c r="F100" s="130">
        <v>15000000</v>
      </c>
      <c r="G100" s="130">
        <v>8</v>
      </c>
      <c r="H100" s="133">
        <v>0.31</v>
      </c>
      <c r="AK100" s="499"/>
      <c r="AL100" s="499"/>
      <c r="AM100" s="499"/>
      <c r="AN100" s="499"/>
      <c r="AO100" s="499"/>
      <c r="AP100" s="499"/>
    </row>
    <row r="101" spans="1:42" ht="12">
      <c r="A101" s="32">
        <v>10329.13798178973</v>
      </c>
      <c r="B101" s="133">
        <v>0.28</v>
      </c>
      <c r="E101" s="130">
        <v>9</v>
      </c>
      <c r="F101" s="130">
        <v>20000000</v>
      </c>
      <c r="G101" s="130">
        <v>9</v>
      </c>
      <c r="H101" s="133">
        <v>0.28</v>
      </c>
      <c r="AK101" s="499"/>
      <c r="AL101" s="499"/>
      <c r="AM101" s="499"/>
      <c r="AN101" s="499"/>
      <c r="AO101" s="499"/>
      <c r="AP101" s="499"/>
    </row>
    <row r="102" spans="1:42" ht="12">
      <c r="A102" s="32">
        <v>12911.422477237162</v>
      </c>
      <c r="B102" s="133">
        <v>0.25</v>
      </c>
      <c r="E102" s="130">
        <v>10</v>
      </c>
      <c r="F102" s="130">
        <v>25000000</v>
      </c>
      <c r="G102" s="130">
        <v>10</v>
      </c>
      <c r="H102" s="133">
        <v>0.25</v>
      </c>
      <c r="AK102" s="499"/>
      <c r="AL102" s="499"/>
      <c r="AM102" s="499"/>
      <c r="AN102" s="499"/>
      <c r="AO102" s="499"/>
      <c r="AP102" s="499"/>
    </row>
    <row r="103" spans="37:42" ht="12">
      <c r="AK103" s="499"/>
      <c r="AL103" s="499"/>
      <c r="AM103" s="499"/>
      <c r="AN103" s="499"/>
      <c r="AO103" s="499"/>
      <c r="AP103" s="499"/>
    </row>
    <row r="104" spans="37:42" ht="12">
      <c r="AK104" s="499"/>
      <c r="AL104" s="499"/>
      <c r="AM104" s="499"/>
      <c r="AN104" s="499"/>
      <c r="AO104" s="499"/>
      <c r="AP104" s="499"/>
    </row>
    <row r="105" spans="37:42" ht="12">
      <c r="AK105" s="499"/>
      <c r="AL105" s="499"/>
      <c r="AM105" s="499"/>
      <c r="AN105" s="499"/>
      <c r="AO105" s="499"/>
      <c r="AP105" s="499"/>
    </row>
    <row r="106" spans="37:42" ht="12">
      <c r="AK106" s="499"/>
      <c r="AL106" s="499"/>
      <c r="AM106" s="499"/>
      <c r="AN106" s="499"/>
      <c r="AO106" s="499"/>
      <c r="AP106" s="499"/>
    </row>
    <row r="107" spans="37:42" ht="12">
      <c r="AK107" s="499"/>
      <c r="AL107" s="499"/>
      <c r="AM107" s="499"/>
      <c r="AN107" s="499"/>
      <c r="AO107" s="499"/>
      <c r="AP107" s="499"/>
    </row>
    <row r="108" spans="37:42" ht="12">
      <c r="AK108" s="499"/>
      <c r="AL108" s="499"/>
      <c r="AM108" s="499"/>
      <c r="AN108" s="499"/>
      <c r="AO108" s="499"/>
      <c r="AP108" s="499"/>
    </row>
    <row r="109" spans="37:42" ht="12">
      <c r="AK109" s="499"/>
      <c r="AL109" s="499"/>
      <c r="AM109" s="499"/>
      <c r="AN109" s="499"/>
      <c r="AO109" s="499"/>
      <c r="AP109" s="499"/>
    </row>
    <row r="110" spans="2:42" ht="15">
      <c r="B110" s="134" t="s">
        <v>255</v>
      </c>
      <c r="C110" s="134" t="s">
        <v>298</v>
      </c>
      <c r="AK110" s="499"/>
      <c r="AL110" s="499"/>
      <c r="AM110" s="499"/>
      <c r="AN110" s="499"/>
      <c r="AO110" s="499"/>
      <c r="AP110" s="499"/>
    </row>
    <row r="111" spans="2:42" ht="15">
      <c r="B111" s="134" t="s">
        <v>256</v>
      </c>
      <c r="C111" s="134" t="s">
        <v>247</v>
      </c>
      <c r="AK111" s="499"/>
      <c r="AL111" s="499"/>
      <c r="AM111" s="499"/>
      <c r="AN111" s="499"/>
      <c r="AO111" s="499"/>
      <c r="AP111" s="499"/>
    </row>
    <row r="112" spans="2:42" ht="15">
      <c r="B112" s="134" t="s">
        <v>257</v>
      </c>
      <c r="C112" s="134" t="s">
        <v>248</v>
      </c>
      <c r="AK112" s="499"/>
      <c r="AL112" s="499"/>
      <c r="AM112" s="499"/>
      <c r="AN112" s="499"/>
      <c r="AO112" s="499"/>
      <c r="AP112" s="499"/>
    </row>
    <row r="113" spans="2:42" ht="15">
      <c r="B113" s="134" t="s">
        <v>258</v>
      </c>
      <c r="C113" s="134" t="s">
        <v>249</v>
      </c>
      <c r="AK113" s="499"/>
      <c r="AL113" s="499"/>
      <c r="AM113" s="499"/>
      <c r="AN113" s="499"/>
      <c r="AO113" s="499"/>
      <c r="AP113" s="499"/>
    </row>
    <row r="114" spans="2:42" ht="15">
      <c r="B114" s="134" t="s">
        <v>259</v>
      </c>
      <c r="C114" s="134" t="s">
        <v>250</v>
      </c>
      <c r="AK114" s="499"/>
      <c r="AL114" s="499"/>
      <c r="AM114" s="499"/>
      <c r="AN114" s="499"/>
      <c r="AO114" s="499"/>
      <c r="AP114" s="499"/>
    </row>
    <row r="115" spans="2:42" ht="15">
      <c r="B115" s="134" t="s">
        <v>260</v>
      </c>
      <c r="C115" s="134" t="s">
        <v>251</v>
      </c>
      <c r="AK115" s="499"/>
      <c r="AL115" s="499"/>
      <c r="AM115" s="499"/>
      <c r="AN115" s="499"/>
      <c r="AO115" s="499"/>
      <c r="AP115" s="499"/>
    </row>
    <row r="116" spans="2:42" ht="15">
      <c r="B116" s="134" t="s">
        <v>261</v>
      </c>
      <c r="C116" s="134" t="s">
        <v>252</v>
      </c>
      <c r="AK116" s="499"/>
      <c r="AL116" s="499"/>
      <c r="AM116" s="499"/>
      <c r="AN116" s="499"/>
      <c r="AO116" s="499"/>
      <c r="AP116" s="499"/>
    </row>
    <row r="117" spans="2:42" ht="15">
      <c r="B117" s="134" t="s">
        <v>266</v>
      </c>
      <c r="C117" s="134" t="s">
        <v>290</v>
      </c>
      <c r="AK117" s="499"/>
      <c r="AL117" s="499"/>
      <c r="AM117" s="499"/>
      <c r="AN117" s="499"/>
      <c r="AO117" s="499"/>
      <c r="AP117" s="499"/>
    </row>
    <row r="118" spans="2:42" ht="15">
      <c r="B118" s="134" t="s">
        <v>267</v>
      </c>
      <c r="C118" s="134" t="s">
        <v>289</v>
      </c>
      <c r="AK118" s="499"/>
      <c r="AL118" s="499"/>
      <c r="AM118" s="499"/>
      <c r="AN118" s="499"/>
      <c r="AO118" s="499"/>
      <c r="AP118" s="499"/>
    </row>
    <row r="119" spans="2:42" ht="15">
      <c r="B119" s="134" t="s">
        <v>265</v>
      </c>
      <c r="C119" s="134" t="s">
        <v>288</v>
      </c>
      <c r="AK119" s="499"/>
      <c r="AL119" s="499"/>
      <c r="AM119" s="499"/>
      <c r="AN119" s="499"/>
      <c r="AO119" s="499"/>
      <c r="AP119" s="499"/>
    </row>
    <row r="120" spans="2:42" ht="15">
      <c r="B120" s="134" t="s">
        <v>262</v>
      </c>
      <c r="C120" s="134" t="s">
        <v>210</v>
      </c>
      <c r="AK120" s="499"/>
      <c r="AL120" s="499"/>
      <c r="AM120" s="499"/>
      <c r="AN120" s="499"/>
      <c r="AO120" s="499"/>
      <c r="AP120" s="499"/>
    </row>
    <row r="121" spans="2:42" ht="15">
      <c r="B121" s="134" t="s">
        <v>263</v>
      </c>
      <c r="C121" s="134" t="s">
        <v>211</v>
      </c>
      <c r="AK121" s="499"/>
      <c r="AL121" s="499"/>
      <c r="AM121" s="499"/>
      <c r="AN121" s="499"/>
      <c r="AO121" s="499"/>
      <c r="AP121" s="499"/>
    </row>
    <row r="122" spans="2:42" ht="15">
      <c r="B122" s="134" t="s">
        <v>264</v>
      </c>
      <c r="C122" s="134" t="s">
        <v>280</v>
      </c>
      <c r="AK122" s="499"/>
      <c r="AL122" s="499"/>
      <c r="AM122" s="499"/>
      <c r="AN122" s="499"/>
      <c r="AO122" s="499"/>
      <c r="AP122" s="499"/>
    </row>
    <row r="123" spans="2:42" ht="15">
      <c r="B123" s="134" t="s">
        <v>268</v>
      </c>
      <c r="C123" s="134" t="s">
        <v>285</v>
      </c>
      <c r="AK123" s="499"/>
      <c r="AL123" s="499"/>
      <c r="AM123" s="499"/>
      <c r="AN123" s="499"/>
      <c r="AO123" s="499"/>
      <c r="AP123" s="499"/>
    </row>
    <row r="124" spans="2:42" ht="15">
      <c r="B124" s="134" t="s">
        <v>269</v>
      </c>
      <c r="C124" s="134" t="s">
        <v>286</v>
      </c>
      <c r="AK124" s="499"/>
      <c r="AL124" s="499"/>
      <c r="AM124" s="499"/>
      <c r="AN124" s="499"/>
      <c r="AO124" s="499"/>
      <c r="AP124" s="499"/>
    </row>
    <row r="125" spans="2:42" ht="15">
      <c r="B125" s="134" t="s">
        <v>270</v>
      </c>
      <c r="C125" s="134" t="s">
        <v>287</v>
      </c>
      <c r="AK125" s="499"/>
      <c r="AL125" s="499"/>
      <c r="AM125" s="499"/>
      <c r="AN125" s="499"/>
      <c r="AO125" s="499"/>
      <c r="AP125" s="499"/>
    </row>
    <row r="126" spans="2:42" ht="15">
      <c r="B126" s="134" t="s">
        <v>329</v>
      </c>
      <c r="C126" s="134" t="s">
        <v>279</v>
      </c>
      <c r="AK126" s="499"/>
      <c r="AL126" s="499"/>
      <c r="AM126" s="499"/>
      <c r="AN126" s="499"/>
      <c r="AO126" s="499"/>
      <c r="AP126" s="499"/>
    </row>
    <row r="127" spans="2:42" ht="15">
      <c r="B127" s="134" t="s">
        <v>271</v>
      </c>
      <c r="C127" s="134" t="s">
        <v>281</v>
      </c>
      <c r="AK127" s="499"/>
      <c r="AL127" s="499"/>
      <c r="AM127" s="499"/>
      <c r="AN127" s="499"/>
      <c r="AO127" s="499"/>
      <c r="AP127" s="499"/>
    </row>
    <row r="128" spans="2:42" ht="15">
      <c r="B128" s="134" t="s">
        <v>272</v>
      </c>
      <c r="C128" s="134" t="s">
        <v>282</v>
      </c>
      <c r="AK128" s="499"/>
      <c r="AL128" s="499"/>
      <c r="AM128" s="499"/>
      <c r="AN128" s="499"/>
      <c r="AO128" s="499"/>
      <c r="AP128" s="499"/>
    </row>
    <row r="129" spans="2:42" ht="15">
      <c r="B129" s="134" t="s">
        <v>273</v>
      </c>
      <c r="C129" s="134" t="s">
        <v>291</v>
      </c>
      <c r="AK129" s="499"/>
      <c r="AL129" s="499"/>
      <c r="AM129" s="499"/>
      <c r="AN129" s="499"/>
      <c r="AO129" s="499"/>
      <c r="AP129" s="499"/>
    </row>
    <row r="130" spans="2:42" ht="15">
      <c r="B130" s="134" t="s">
        <v>274</v>
      </c>
      <c r="C130" s="134" t="s">
        <v>292</v>
      </c>
      <c r="D130" s="134"/>
      <c r="E130" s="134"/>
      <c r="AK130" s="499"/>
      <c r="AL130" s="499"/>
      <c r="AM130" s="499"/>
      <c r="AN130" s="499"/>
      <c r="AO130" s="499"/>
      <c r="AP130" s="499"/>
    </row>
    <row r="131" spans="2:42" ht="15">
      <c r="B131" s="134" t="s">
        <v>275</v>
      </c>
      <c r="C131" s="134" t="s">
        <v>293</v>
      </c>
      <c r="D131" s="134"/>
      <c r="E131" s="134"/>
      <c r="AK131" s="499"/>
      <c r="AL131" s="499"/>
      <c r="AM131" s="499"/>
      <c r="AN131" s="499"/>
      <c r="AO131" s="499"/>
      <c r="AP131" s="499"/>
    </row>
    <row r="132" spans="2:42" ht="15">
      <c r="B132" s="134" t="s">
        <v>330</v>
      </c>
      <c r="C132" s="134" t="s">
        <v>284</v>
      </c>
      <c r="D132" s="134"/>
      <c r="E132" s="134"/>
      <c r="AK132" s="499"/>
      <c r="AL132" s="499"/>
      <c r="AM132" s="499"/>
      <c r="AN132" s="499"/>
      <c r="AO132" s="499"/>
      <c r="AP132" s="499"/>
    </row>
    <row r="133" spans="2:42" ht="15">
      <c r="B133" s="134" t="s">
        <v>276</v>
      </c>
      <c r="C133" s="134" t="s">
        <v>294</v>
      </c>
      <c r="D133" s="134"/>
      <c r="E133" s="134"/>
      <c r="AK133" s="499"/>
      <c r="AL133" s="499"/>
      <c r="AM133" s="499"/>
      <c r="AN133" s="499"/>
      <c r="AO133" s="499"/>
      <c r="AP133" s="499"/>
    </row>
    <row r="134" spans="2:42" ht="15">
      <c r="B134" s="134" t="s">
        <v>277</v>
      </c>
      <c r="C134" s="134" t="s">
        <v>295</v>
      </c>
      <c r="D134" s="134"/>
      <c r="E134" s="134"/>
      <c r="AK134" s="499"/>
      <c r="AL134" s="499"/>
      <c r="AM134" s="499"/>
      <c r="AN134" s="499"/>
      <c r="AO134" s="499"/>
      <c r="AP134" s="499"/>
    </row>
    <row r="135" spans="2:42" ht="15">
      <c r="B135" s="134" t="s">
        <v>278</v>
      </c>
      <c r="C135" s="134" t="s">
        <v>296</v>
      </c>
      <c r="D135" s="134"/>
      <c r="E135" s="134"/>
      <c r="AK135" s="499"/>
      <c r="AL135" s="499"/>
      <c r="AM135" s="499"/>
      <c r="AN135" s="499"/>
      <c r="AO135" s="499"/>
      <c r="AP135" s="499"/>
    </row>
    <row r="136" spans="2:42" ht="15">
      <c r="B136" s="134"/>
      <c r="C136" s="134"/>
      <c r="D136" s="134"/>
      <c r="E136" s="134"/>
      <c r="AK136" s="499"/>
      <c r="AL136" s="499"/>
      <c r="AM136" s="499"/>
      <c r="AN136" s="499"/>
      <c r="AO136" s="499"/>
      <c r="AP136" s="499"/>
    </row>
    <row r="137" spans="2:42" ht="15">
      <c r="B137" s="134"/>
      <c r="C137" s="134"/>
      <c r="D137" s="134"/>
      <c r="E137" s="134"/>
      <c r="AK137" s="499"/>
      <c r="AL137" s="499"/>
      <c r="AM137" s="499"/>
      <c r="AN137" s="499"/>
      <c r="AO137" s="499"/>
      <c r="AP137" s="499"/>
    </row>
    <row r="138" spans="1:42" ht="15">
      <c r="A138" s="153" t="s">
        <v>177</v>
      </c>
      <c r="B138" s="154"/>
      <c r="C138" s="154"/>
      <c r="D138" s="154"/>
      <c r="E138" s="154"/>
      <c r="F138" s="155"/>
      <c r="G138" s="155"/>
      <c r="AK138" s="499"/>
      <c r="AL138" s="499"/>
      <c r="AM138" s="499"/>
      <c r="AN138" s="499"/>
      <c r="AO138" s="499"/>
      <c r="AP138" s="499"/>
    </row>
    <row r="139" spans="1:42" ht="15">
      <c r="A139" s="155"/>
      <c r="B139" s="154"/>
      <c r="C139" s="154"/>
      <c r="D139" s="154"/>
      <c r="E139" s="154"/>
      <c r="F139" s="155"/>
      <c r="G139" s="155"/>
      <c r="AK139" s="499"/>
      <c r="AL139" s="499"/>
      <c r="AM139" s="499"/>
      <c r="AN139" s="499"/>
      <c r="AO139" s="499"/>
      <c r="AP139" s="499"/>
    </row>
    <row r="140" spans="1:42" ht="15">
      <c r="A140" s="156">
        <f>PARCELLA!C12</f>
        <v>0</v>
      </c>
      <c r="B140" s="157" t="str">
        <f>PARCELLA!B12</f>
        <v>Ic</v>
      </c>
      <c r="C140" s="154">
        <v>0</v>
      </c>
      <c r="D140" s="154"/>
      <c r="E140" s="154"/>
      <c r="F140" s="155"/>
      <c r="G140" s="23" t="s">
        <v>345</v>
      </c>
      <c r="AK140" s="499"/>
      <c r="AL140" s="499"/>
      <c r="AM140" s="499"/>
      <c r="AN140" s="499"/>
      <c r="AO140" s="499"/>
      <c r="AP140" s="499"/>
    </row>
    <row r="141" spans="1:42" ht="15">
      <c r="A141" s="156">
        <f>PARCELLA!B41*1936.27</f>
        <v>0</v>
      </c>
      <c r="B141" s="154" t="b">
        <f>PARCELLA!AG48</f>
        <v>0</v>
      </c>
      <c r="C141" s="158">
        <v>0.030661</v>
      </c>
      <c r="D141" s="159">
        <v>1.8397</v>
      </c>
      <c r="E141" s="160">
        <v>0</v>
      </c>
      <c r="F141" s="161" t="s">
        <v>332</v>
      </c>
      <c r="G141" s="21">
        <v>0.1</v>
      </c>
      <c r="I141" s="32">
        <f>SUM(G141:G146)</f>
        <v>0.65</v>
      </c>
      <c r="AK141" s="499"/>
      <c r="AL141" s="499"/>
      <c r="AM141" s="499"/>
      <c r="AN141" s="499"/>
      <c r="AO141" s="499"/>
      <c r="AP141" s="499"/>
    </row>
    <row r="142" spans="1:42" ht="15">
      <c r="A142" s="160">
        <f>PARCELLA!B56</f>
        <v>0</v>
      </c>
      <c r="B142" s="154" t="s">
        <v>184</v>
      </c>
      <c r="C142" s="154">
        <v>4.911314016</v>
      </c>
      <c r="D142" s="159">
        <v>1.6863</v>
      </c>
      <c r="E142" s="160">
        <v>0</v>
      </c>
      <c r="F142" s="161" t="s">
        <v>333</v>
      </c>
      <c r="G142" s="21">
        <v>0.02</v>
      </c>
      <c r="AK142" s="499"/>
      <c r="AL142" s="499"/>
      <c r="AM142" s="499"/>
      <c r="AN142" s="499"/>
      <c r="AO142" s="499"/>
      <c r="AP142" s="499"/>
    </row>
    <row r="143" spans="1:42" ht="15">
      <c r="A143" s="155"/>
      <c r="B143" s="154"/>
      <c r="C143" s="154"/>
      <c r="D143" s="159">
        <v>1.533</v>
      </c>
      <c r="E143" s="160">
        <v>0</v>
      </c>
      <c r="F143" s="161" t="s">
        <v>335</v>
      </c>
      <c r="G143" s="21">
        <v>0.25</v>
      </c>
      <c r="AK143" s="499"/>
      <c r="AL143" s="499"/>
      <c r="AM143" s="499"/>
      <c r="AN143" s="499"/>
      <c r="AO143" s="499"/>
      <c r="AP143" s="499"/>
    </row>
    <row r="144" spans="1:42" ht="15">
      <c r="A144" s="155"/>
      <c r="B144" s="154"/>
      <c r="C144" s="154"/>
      <c r="D144" s="159">
        <v>1.2264</v>
      </c>
      <c r="E144" s="160">
        <v>0</v>
      </c>
      <c r="F144" s="161" t="s">
        <v>336</v>
      </c>
      <c r="G144" s="21">
        <v>0.1</v>
      </c>
      <c r="AK144" s="499"/>
      <c r="AL144" s="499"/>
      <c r="AM144" s="499"/>
      <c r="AN144" s="499"/>
      <c r="AO144" s="499"/>
      <c r="AP144" s="499"/>
    </row>
    <row r="145" spans="1:42" ht="15">
      <c r="A145" s="155"/>
      <c r="B145" s="154"/>
      <c r="C145" s="154"/>
      <c r="D145" s="159">
        <v>1.0731</v>
      </c>
      <c r="E145" s="160">
        <v>0</v>
      </c>
      <c r="F145" s="161" t="s">
        <v>337</v>
      </c>
      <c r="G145" s="21">
        <v>0.15</v>
      </c>
      <c r="AK145" s="499"/>
      <c r="AL145" s="499"/>
      <c r="AM145" s="499"/>
      <c r="AN145" s="499"/>
      <c r="AO145" s="499"/>
      <c r="AP145" s="499"/>
    </row>
    <row r="146" spans="1:42" ht="15">
      <c r="A146" s="155"/>
      <c r="B146" s="154"/>
      <c r="C146" s="154"/>
      <c r="D146" s="154"/>
      <c r="E146" s="154"/>
      <c r="F146" s="161" t="s">
        <v>338</v>
      </c>
      <c r="G146" s="21">
        <v>0.03</v>
      </c>
      <c r="AK146" s="499"/>
      <c r="AL146" s="499"/>
      <c r="AM146" s="499"/>
      <c r="AN146" s="499"/>
      <c r="AO146" s="499"/>
      <c r="AP146" s="499"/>
    </row>
    <row r="147" spans="1:42" ht="15">
      <c r="A147" s="155"/>
      <c r="B147" s="154"/>
      <c r="C147" s="154"/>
      <c r="D147" s="154"/>
      <c r="E147" s="154"/>
      <c r="F147" s="161" t="s">
        <v>339</v>
      </c>
      <c r="G147" s="21">
        <v>0.25</v>
      </c>
      <c r="I147" s="32">
        <f>G147+G148+G149</f>
        <v>0.35000000000000003</v>
      </c>
      <c r="AK147" s="499"/>
      <c r="AL147" s="499"/>
      <c r="AM147" s="499"/>
      <c r="AN147" s="499"/>
      <c r="AO147" s="499"/>
      <c r="AP147" s="499"/>
    </row>
    <row r="148" spans="1:42" ht="15">
      <c r="A148" s="155"/>
      <c r="B148" s="154"/>
      <c r="C148" s="154"/>
      <c r="D148" s="154"/>
      <c r="E148" s="154"/>
      <c r="F148" s="161" t="s">
        <v>340</v>
      </c>
      <c r="G148" s="21">
        <v>0.03</v>
      </c>
      <c r="AK148" s="499"/>
      <c r="AL148" s="499"/>
      <c r="AM148" s="499"/>
      <c r="AN148" s="499"/>
      <c r="AO148" s="499"/>
      <c r="AP148" s="499"/>
    </row>
    <row r="149" spans="1:42" ht="15">
      <c r="A149" s="155"/>
      <c r="B149" s="154"/>
      <c r="C149" s="496"/>
      <c r="D149" s="154"/>
      <c r="E149" s="154"/>
      <c r="F149" s="161" t="s">
        <v>348</v>
      </c>
      <c r="G149" s="21">
        <v>0.07</v>
      </c>
      <c r="AK149" s="499"/>
      <c r="AL149" s="499"/>
      <c r="AM149" s="499"/>
      <c r="AN149" s="499"/>
      <c r="AO149" s="499"/>
      <c r="AP149" s="499"/>
    </row>
    <row r="150" spans="2:42" ht="15">
      <c r="B150" s="134"/>
      <c r="C150" s="134"/>
      <c r="D150" s="134"/>
      <c r="E150" s="134"/>
      <c r="G150" s="21"/>
      <c r="AK150" s="499"/>
      <c r="AL150" s="499"/>
      <c r="AM150" s="499"/>
      <c r="AN150" s="499"/>
      <c r="AO150" s="499"/>
      <c r="AP150" s="499"/>
    </row>
    <row r="151" spans="1:42" ht="15">
      <c r="A151" s="153" t="s">
        <v>163</v>
      </c>
      <c r="B151" s="154"/>
      <c r="C151" s="154"/>
      <c r="D151" s="134"/>
      <c r="E151" s="134"/>
      <c r="AK151" s="499"/>
      <c r="AL151" s="499"/>
      <c r="AM151" s="499"/>
      <c r="AN151" s="499"/>
      <c r="AO151" s="499"/>
      <c r="AP151" s="499"/>
    </row>
    <row r="152" spans="1:42" ht="15">
      <c r="A152" s="155"/>
      <c r="B152" s="154"/>
      <c r="C152" s="154"/>
      <c r="D152" s="134"/>
      <c r="E152" s="134"/>
      <c r="AK152" s="499"/>
      <c r="AL152" s="499"/>
      <c r="AM152" s="499"/>
      <c r="AN152" s="499"/>
      <c r="AO152" s="499"/>
      <c r="AP152" s="499"/>
    </row>
    <row r="153" spans="1:42" ht="15">
      <c r="A153" s="156">
        <f>PARCELLA!C27</f>
        <v>0</v>
      </c>
      <c r="B153" s="157"/>
      <c r="C153" s="154">
        <v>0.23984189235999998</v>
      </c>
      <c r="D153" s="134"/>
      <c r="E153" s="134"/>
      <c r="AK153" s="499"/>
      <c r="AL153" s="499"/>
      <c r="AM153" s="499"/>
      <c r="AN153" s="499"/>
      <c r="AO153" s="499"/>
      <c r="AP153" s="499"/>
    </row>
    <row r="154" spans="37:42" ht="12">
      <c r="AK154" s="499"/>
      <c r="AL154" s="499"/>
      <c r="AM154" s="499"/>
      <c r="AN154" s="499"/>
      <c r="AO154" s="499"/>
      <c r="AP154" s="499"/>
    </row>
    <row r="155" spans="37:42" ht="12">
      <c r="AK155" s="499"/>
      <c r="AL155" s="499"/>
      <c r="AM155" s="499"/>
      <c r="AN155" s="499"/>
      <c r="AO155" s="499"/>
      <c r="AP155" s="499"/>
    </row>
    <row r="156" spans="37:42" ht="12">
      <c r="AK156" s="499"/>
      <c r="AL156" s="499"/>
      <c r="AM156" s="499"/>
      <c r="AN156" s="499"/>
      <c r="AO156" s="499"/>
      <c r="AP156" s="499"/>
    </row>
    <row r="157" spans="37:42" ht="12">
      <c r="AK157" s="499"/>
      <c r="AL157" s="499"/>
      <c r="AM157" s="499"/>
      <c r="AN157" s="499"/>
      <c r="AO157" s="499"/>
      <c r="AP157" s="499"/>
    </row>
    <row r="158" spans="37:42" ht="12">
      <c r="AK158" s="499"/>
      <c r="AL158" s="499"/>
      <c r="AM158" s="499"/>
      <c r="AN158" s="499"/>
      <c r="AO158" s="499"/>
      <c r="AP158" s="499"/>
    </row>
    <row r="159" spans="37:42" ht="12">
      <c r="AK159" s="499"/>
      <c r="AL159" s="499"/>
      <c r="AM159" s="499"/>
      <c r="AN159" s="499"/>
      <c r="AO159" s="499"/>
      <c r="AP159" s="499"/>
    </row>
    <row r="160" spans="1:42" ht="12">
      <c r="A160" s="501"/>
      <c r="B160" s="501"/>
      <c r="C160" s="501"/>
      <c r="D160" s="501"/>
      <c r="E160" s="501"/>
      <c r="F160" s="501"/>
      <c r="G160" s="501"/>
      <c r="H160" s="501"/>
      <c r="I160" s="501"/>
      <c r="J160" s="501"/>
      <c r="K160" s="501"/>
      <c r="L160" s="501"/>
      <c r="M160" s="501"/>
      <c r="N160" s="501"/>
      <c r="O160" s="501"/>
      <c r="P160" s="501"/>
      <c r="Q160" s="501"/>
      <c r="R160" s="501"/>
      <c r="S160" s="501"/>
      <c r="T160" s="501"/>
      <c r="U160" s="501"/>
      <c r="V160" s="501"/>
      <c r="W160" s="501"/>
      <c r="X160" s="501"/>
      <c r="Y160" s="501"/>
      <c r="Z160" s="501"/>
      <c r="AA160" s="501"/>
      <c r="AB160" s="501"/>
      <c r="AC160" s="501"/>
      <c r="AD160" s="501"/>
      <c r="AE160" s="499"/>
      <c r="AF160" s="499"/>
      <c r="AG160" s="499"/>
      <c r="AH160" s="499"/>
      <c r="AI160" s="499"/>
      <c r="AJ160" s="499"/>
      <c r="AK160" s="499"/>
      <c r="AL160" s="499"/>
      <c r="AM160" s="499"/>
      <c r="AN160" s="499"/>
      <c r="AO160" s="499"/>
      <c r="AP160" s="499"/>
    </row>
    <row r="161" spans="1:42" ht="12">
      <c r="A161" s="501"/>
      <c r="B161" s="501"/>
      <c r="C161" s="501"/>
      <c r="D161" s="501"/>
      <c r="E161" s="501"/>
      <c r="F161" s="501"/>
      <c r="G161" s="501"/>
      <c r="H161" s="501"/>
      <c r="I161" s="501"/>
      <c r="J161" s="501"/>
      <c r="K161" s="501"/>
      <c r="L161" s="501"/>
      <c r="M161" s="501"/>
      <c r="N161" s="501"/>
      <c r="O161" s="501"/>
      <c r="P161" s="501"/>
      <c r="Q161" s="501"/>
      <c r="R161" s="501"/>
      <c r="S161" s="501"/>
      <c r="T161" s="501"/>
      <c r="U161" s="501"/>
      <c r="V161" s="501"/>
      <c r="W161" s="501"/>
      <c r="X161" s="501"/>
      <c r="Y161" s="501"/>
      <c r="Z161" s="501"/>
      <c r="AA161" s="501"/>
      <c r="AB161" s="501"/>
      <c r="AC161" s="501"/>
      <c r="AD161" s="501"/>
      <c r="AE161" s="499"/>
      <c r="AF161" s="499"/>
      <c r="AG161" s="499"/>
      <c r="AH161" s="499"/>
      <c r="AI161" s="499"/>
      <c r="AJ161" s="499"/>
      <c r="AK161" s="499"/>
      <c r="AL161" s="499"/>
      <c r="AM161" s="499"/>
      <c r="AN161" s="499"/>
      <c r="AO161" s="499"/>
      <c r="AP161" s="499"/>
    </row>
    <row r="162" spans="1:37" ht="12">
      <c r="A162" s="501"/>
      <c r="B162" s="501"/>
      <c r="C162" s="501"/>
      <c r="D162" s="501"/>
      <c r="E162" s="501"/>
      <c r="F162" s="501"/>
      <c r="G162" s="501"/>
      <c r="H162" s="501"/>
      <c r="I162" s="501"/>
      <c r="J162" s="501"/>
      <c r="K162" s="501"/>
      <c r="L162" s="501"/>
      <c r="M162" s="501"/>
      <c r="N162" s="501"/>
      <c r="O162" s="501"/>
      <c r="P162" s="501"/>
      <c r="Q162" s="501"/>
      <c r="R162" s="501"/>
      <c r="S162" s="501"/>
      <c r="T162" s="501"/>
      <c r="U162" s="501"/>
      <c r="V162" s="501"/>
      <c r="W162" s="501"/>
      <c r="X162" s="501"/>
      <c r="Y162" s="501"/>
      <c r="Z162" s="501"/>
      <c r="AA162" s="501"/>
      <c r="AB162" s="501"/>
      <c r="AC162" s="501"/>
      <c r="AD162" s="501"/>
      <c r="AE162" s="497"/>
      <c r="AF162" s="497"/>
      <c r="AG162" s="497"/>
      <c r="AH162" s="497"/>
      <c r="AI162" s="497"/>
      <c r="AJ162" s="497"/>
      <c r="AK162" s="497"/>
    </row>
    <row r="163" spans="1:37" ht="12">
      <c r="A163" s="501"/>
      <c r="B163" s="501"/>
      <c r="C163" s="501"/>
      <c r="D163" s="501"/>
      <c r="E163" s="501"/>
      <c r="F163" s="501"/>
      <c r="G163" s="501"/>
      <c r="H163" s="501"/>
      <c r="I163" s="501"/>
      <c r="J163" s="501"/>
      <c r="K163" s="501"/>
      <c r="L163" s="501"/>
      <c r="M163" s="501"/>
      <c r="N163" s="501"/>
      <c r="O163" s="501"/>
      <c r="P163" s="501"/>
      <c r="Q163" s="501"/>
      <c r="R163" s="501"/>
      <c r="S163" s="501"/>
      <c r="T163" s="501"/>
      <c r="U163" s="501"/>
      <c r="V163" s="501"/>
      <c r="W163" s="501"/>
      <c r="X163" s="501"/>
      <c r="Y163" s="501"/>
      <c r="Z163" s="501"/>
      <c r="AA163" s="501"/>
      <c r="AB163" s="501"/>
      <c r="AC163" s="501"/>
      <c r="AD163" s="501"/>
      <c r="AE163" s="497"/>
      <c r="AF163" s="497"/>
      <c r="AG163" s="497"/>
      <c r="AH163" s="497"/>
      <c r="AI163" s="497"/>
      <c r="AJ163" s="497"/>
      <c r="AK163" s="497"/>
    </row>
    <row r="164" spans="1:37" ht="12">
      <c r="A164" s="501"/>
      <c r="B164" s="501"/>
      <c r="C164" s="501"/>
      <c r="D164" s="501"/>
      <c r="E164" s="501"/>
      <c r="F164" s="501"/>
      <c r="G164" s="501"/>
      <c r="H164" s="501"/>
      <c r="I164" s="501"/>
      <c r="J164" s="501"/>
      <c r="K164" s="501"/>
      <c r="L164" s="501"/>
      <c r="M164" s="501"/>
      <c r="N164" s="501"/>
      <c r="O164" s="501"/>
      <c r="P164" s="501"/>
      <c r="Q164" s="501"/>
      <c r="R164" s="501"/>
      <c r="S164" s="501"/>
      <c r="T164" s="501"/>
      <c r="U164" s="501"/>
      <c r="V164" s="501"/>
      <c r="W164" s="501"/>
      <c r="X164" s="501"/>
      <c r="Y164" s="501"/>
      <c r="Z164" s="501"/>
      <c r="AA164" s="501"/>
      <c r="AB164" s="501"/>
      <c r="AC164" s="501"/>
      <c r="AD164" s="501"/>
      <c r="AE164" s="497"/>
      <c r="AF164" s="497"/>
      <c r="AG164" s="497"/>
      <c r="AH164" s="497"/>
      <c r="AI164" s="497"/>
      <c r="AJ164" s="497"/>
      <c r="AK164" s="497"/>
    </row>
  </sheetData>
  <sheetProtection/>
  <printOptions/>
  <pageMargins left="0.75" right="0.75" top="1" bottom="1" header="0.5" footer="0.5"/>
  <pageSetup horizontalDpi="180" verticalDpi="180" orientation="landscape" paperSize="9" scale="91"/>
  <rowBreaks count="1" manualBreakCount="1">
    <brk id="35" max="28" man="1"/>
  </rowBreaks>
</worksheet>
</file>

<file path=xl/worksheets/sheet9.xml><?xml version="1.0" encoding="utf-8"?>
<worksheet xmlns="http://schemas.openxmlformats.org/spreadsheetml/2006/main" xmlns:r="http://schemas.openxmlformats.org/officeDocument/2006/relationships">
  <sheetPr codeName="Foglio4">
    <tabColor indexed="10"/>
  </sheetPr>
  <dimension ref="A1:AV189"/>
  <sheetViews>
    <sheetView zoomScale="75" zoomScaleNormal="75" zoomScalePageLayoutView="0" workbookViewId="0" topLeftCell="A1">
      <pane xSplit="1" ySplit="3" topLeftCell="B80" activePane="bottomRight" state="frozen"/>
      <selection pane="topLeft" activeCell="C141" sqref="C141"/>
      <selection pane="topRight" activeCell="C141" sqref="C141"/>
      <selection pane="bottomLeft" activeCell="C141" sqref="C141"/>
      <selection pane="bottomRight" activeCell="G14" sqref="G14:G51"/>
    </sheetView>
  </sheetViews>
  <sheetFormatPr defaultColWidth="9.140625" defaultRowHeight="12.75"/>
  <cols>
    <col min="1" max="1" width="24.421875" style="32" customWidth="1"/>
    <col min="2" max="2" width="9.00390625" style="32" customWidth="1"/>
    <col min="3" max="3" width="14.7109375" style="32" customWidth="1"/>
    <col min="4" max="4" width="15.421875" style="32" customWidth="1"/>
    <col min="5" max="5" width="14.421875" style="32" customWidth="1"/>
    <col min="6" max="6" width="15.421875" style="32" customWidth="1"/>
    <col min="7" max="7" width="15.00390625" style="32" customWidth="1"/>
    <col min="8" max="9" width="14.7109375" style="32" customWidth="1"/>
    <col min="10" max="10" width="14.421875" style="32" customWidth="1"/>
    <col min="11" max="11" width="17.421875" style="32" customWidth="1"/>
    <col min="12" max="12" width="16.7109375" style="32" customWidth="1"/>
    <col min="13" max="13" width="15.8515625" style="32" customWidth="1"/>
    <col min="14" max="14" width="15.421875" style="32" customWidth="1"/>
    <col min="15" max="15" width="15.28125" style="32" customWidth="1"/>
    <col min="16" max="16" width="14.421875" style="32" customWidth="1"/>
    <col min="17" max="17" width="16.28125" style="32" customWidth="1"/>
    <col min="18" max="18" width="16.00390625" style="32" customWidth="1"/>
    <col min="19" max="19" width="17.140625" style="32" customWidth="1"/>
    <col min="20" max="20" width="15.00390625" style="32" customWidth="1"/>
    <col min="21" max="23" width="15.421875" style="32" customWidth="1"/>
    <col min="24" max="24" width="15.28125" style="32" customWidth="1"/>
    <col min="25" max="25" width="18.8515625" style="32" customWidth="1"/>
    <col min="26" max="26" width="15.8515625" style="32" customWidth="1"/>
    <col min="27" max="27" width="15.00390625" style="32" customWidth="1"/>
    <col min="28" max="28" width="15.421875" style="32" customWidth="1"/>
    <col min="29" max="16384" width="9.140625" style="32" customWidth="1"/>
  </cols>
  <sheetData>
    <row r="1" spans="1:48" ht="12">
      <c r="A1" s="25">
        <v>0</v>
      </c>
      <c r="B1" s="122">
        <v>0</v>
      </c>
      <c r="C1" s="24">
        <v>1</v>
      </c>
      <c r="D1" s="24">
        <v>2</v>
      </c>
      <c r="E1" s="24">
        <v>3</v>
      </c>
      <c r="F1" s="24">
        <v>4</v>
      </c>
      <c r="G1" s="24">
        <v>5</v>
      </c>
      <c r="H1" s="24">
        <v>6</v>
      </c>
      <c r="I1" s="24">
        <v>7</v>
      </c>
      <c r="J1" s="24">
        <v>8</v>
      </c>
      <c r="K1" s="24">
        <v>9</v>
      </c>
      <c r="L1" s="24">
        <v>10</v>
      </c>
      <c r="M1" s="24">
        <v>11</v>
      </c>
      <c r="N1" s="24">
        <v>12</v>
      </c>
      <c r="O1" s="24">
        <v>13</v>
      </c>
      <c r="P1" s="24">
        <v>14</v>
      </c>
      <c r="Q1" s="24">
        <v>15</v>
      </c>
      <c r="R1" s="24">
        <v>16</v>
      </c>
      <c r="S1" s="24">
        <v>17</v>
      </c>
      <c r="T1" s="24">
        <v>18</v>
      </c>
      <c r="U1" s="24">
        <v>19</v>
      </c>
      <c r="V1" s="24">
        <v>20</v>
      </c>
      <c r="W1" s="24">
        <v>21</v>
      </c>
      <c r="X1" s="24">
        <v>22</v>
      </c>
      <c r="Y1" s="24">
        <v>23</v>
      </c>
      <c r="Z1" s="24">
        <v>24</v>
      </c>
      <c r="AA1" s="24">
        <v>25</v>
      </c>
      <c r="AB1" s="24">
        <v>26</v>
      </c>
      <c r="AC1" s="122"/>
      <c r="AD1" s="122"/>
      <c r="AE1" s="122"/>
      <c r="AF1" s="122"/>
      <c r="AG1" s="122"/>
      <c r="AH1" s="498"/>
      <c r="AI1" s="498"/>
      <c r="AJ1" s="498"/>
      <c r="AK1" s="498"/>
      <c r="AL1" s="122"/>
      <c r="AM1" s="122"/>
      <c r="AN1" s="122"/>
      <c r="AO1" s="122"/>
      <c r="AP1" s="122"/>
      <c r="AQ1" s="122"/>
      <c r="AR1" s="122"/>
      <c r="AS1" s="122"/>
      <c r="AT1" s="122"/>
      <c r="AU1" s="122"/>
      <c r="AV1" s="122"/>
    </row>
    <row r="2" spans="1:37" ht="12">
      <c r="A2" s="123">
        <v>0</v>
      </c>
      <c r="B2" s="122">
        <v>0</v>
      </c>
      <c r="AH2" s="497"/>
      <c r="AI2" s="497"/>
      <c r="AJ2" s="497"/>
      <c r="AK2" s="497"/>
    </row>
    <row r="3" spans="1:37" ht="15">
      <c r="A3" s="123">
        <v>0</v>
      </c>
      <c r="B3" s="122">
        <v>0</v>
      </c>
      <c r="C3" s="135" t="s">
        <v>255</v>
      </c>
      <c r="D3" s="135" t="s">
        <v>256</v>
      </c>
      <c r="E3" s="135" t="s">
        <v>257</v>
      </c>
      <c r="F3" s="135" t="s">
        <v>258</v>
      </c>
      <c r="G3" s="135" t="s">
        <v>259</v>
      </c>
      <c r="H3" s="135" t="s">
        <v>260</v>
      </c>
      <c r="I3" s="135" t="s">
        <v>261</v>
      </c>
      <c r="J3" s="135" t="s">
        <v>266</v>
      </c>
      <c r="K3" s="135" t="s">
        <v>267</v>
      </c>
      <c r="L3" s="135" t="s">
        <v>265</v>
      </c>
      <c r="M3" s="135" t="s">
        <v>262</v>
      </c>
      <c r="N3" s="135" t="s">
        <v>263</v>
      </c>
      <c r="O3" s="135" t="s">
        <v>264</v>
      </c>
      <c r="P3" s="135" t="s">
        <v>268</v>
      </c>
      <c r="Q3" s="135" t="s">
        <v>269</v>
      </c>
      <c r="R3" s="135" t="s">
        <v>270</v>
      </c>
      <c r="S3" s="135" t="s">
        <v>329</v>
      </c>
      <c r="T3" s="135" t="s">
        <v>271</v>
      </c>
      <c r="U3" s="135" t="s">
        <v>272</v>
      </c>
      <c r="V3" s="135" t="s">
        <v>273</v>
      </c>
      <c r="W3" s="135" t="s">
        <v>274</v>
      </c>
      <c r="X3" s="135" t="s">
        <v>275</v>
      </c>
      <c r="Y3" s="135" t="s">
        <v>330</v>
      </c>
      <c r="Z3" s="135" t="s">
        <v>276</v>
      </c>
      <c r="AA3" s="135" t="s">
        <v>277</v>
      </c>
      <c r="AB3" s="135" t="s">
        <v>278</v>
      </c>
      <c r="AH3" s="497"/>
      <c r="AI3" s="497"/>
      <c r="AJ3" s="497"/>
      <c r="AK3" s="497"/>
    </row>
    <row r="4" spans="1:37" ht="12">
      <c r="A4" s="123">
        <v>0</v>
      </c>
      <c r="B4" s="122">
        <v>0</v>
      </c>
      <c r="C4" s="21"/>
      <c r="D4" s="21"/>
      <c r="E4" s="21"/>
      <c r="F4" s="21"/>
      <c r="G4" s="21"/>
      <c r="H4" s="21"/>
      <c r="I4" s="21"/>
      <c r="J4" s="21"/>
      <c r="K4" s="21"/>
      <c r="L4" s="21"/>
      <c r="M4" s="22" t="s">
        <v>317</v>
      </c>
      <c r="N4" s="21"/>
      <c r="O4" s="21"/>
      <c r="P4" s="21"/>
      <c r="Q4" s="21"/>
      <c r="R4" s="22" t="s">
        <v>317</v>
      </c>
      <c r="S4" s="21"/>
      <c r="T4" s="22" t="s">
        <v>317</v>
      </c>
      <c r="U4" s="21"/>
      <c r="V4" s="21"/>
      <c r="W4" s="21"/>
      <c r="X4" s="21"/>
      <c r="Y4" s="22" t="s">
        <v>317</v>
      </c>
      <c r="AH4" s="497"/>
      <c r="AI4" s="497"/>
      <c r="AJ4" s="497"/>
      <c r="AK4" s="497"/>
    </row>
    <row r="5" spans="1:37" ht="15" customHeight="1">
      <c r="A5" s="123">
        <v>0</v>
      </c>
      <c r="B5" s="122">
        <v>0</v>
      </c>
      <c r="C5" s="21"/>
      <c r="D5" s="21"/>
      <c r="E5" s="21"/>
      <c r="F5" s="21"/>
      <c r="G5" s="21"/>
      <c r="H5" s="21"/>
      <c r="I5" s="21"/>
      <c r="J5" s="21"/>
      <c r="K5" s="21"/>
      <c r="L5" s="21"/>
      <c r="M5" s="22" t="s">
        <v>317</v>
      </c>
      <c r="N5" s="21"/>
      <c r="O5" s="21"/>
      <c r="P5" s="21"/>
      <c r="Q5" s="21"/>
      <c r="R5" s="22" t="s">
        <v>317</v>
      </c>
      <c r="S5" s="21"/>
      <c r="T5" s="22" t="s">
        <v>317</v>
      </c>
      <c r="U5" s="21"/>
      <c r="V5" s="21"/>
      <c r="W5" s="21"/>
      <c r="X5" s="21"/>
      <c r="Y5" s="22" t="s">
        <v>317</v>
      </c>
      <c r="AH5" s="497"/>
      <c r="AI5" s="497"/>
      <c r="AJ5" s="497"/>
      <c r="AK5" s="497"/>
    </row>
    <row r="6" spans="1:37" ht="12">
      <c r="A6" s="124">
        <v>50000</v>
      </c>
      <c r="B6" s="24">
        <v>1</v>
      </c>
      <c r="C6" s="21">
        <v>38.326</v>
      </c>
      <c r="D6" s="21">
        <v>38.326</v>
      </c>
      <c r="E6" s="21">
        <v>38.326</v>
      </c>
      <c r="F6" s="21">
        <v>38.326</v>
      </c>
      <c r="G6" s="21">
        <v>38.326</v>
      </c>
      <c r="H6" s="21">
        <v>38.326</v>
      </c>
      <c r="I6" s="21">
        <v>38.326</v>
      </c>
      <c r="J6" s="21">
        <v>38.326</v>
      </c>
      <c r="K6" s="21">
        <v>53.6565</v>
      </c>
      <c r="L6" s="21">
        <v>68.9869</v>
      </c>
      <c r="M6" s="21">
        <v>53.656499999999994</v>
      </c>
      <c r="N6" s="21">
        <v>57.4891</v>
      </c>
      <c r="O6" s="21">
        <v>76.6521</v>
      </c>
      <c r="P6" s="21">
        <v>45.9913</v>
      </c>
      <c r="Q6" s="21">
        <v>38.326</v>
      </c>
      <c r="R6" s="21">
        <v>30.660800000000002</v>
      </c>
      <c r="S6" s="21">
        <v>61.3217</v>
      </c>
      <c r="T6" s="21">
        <v>18.7031</v>
      </c>
      <c r="U6" s="21">
        <v>23.608800000000002</v>
      </c>
      <c r="V6" s="21">
        <v>21.4626</v>
      </c>
      <c r="W6" s="21">
        <v>24.5287</v>
      </c>
      <c r="X6" s="21">
        <v>26.3683</v>
      </c>
      <c r="Y6" s="21">
        <v>26.368299999999998</v>
      </c>
      <c r="Z6" s="21">
        <v>24.5287</v>
      </c>
      <c r="AA6" s="21">
        <v>30.9674</v>
      </c>
      <c r="AB6" s="21">
        <v>35.7505</v>
      </c>
      <c r="AC6" s="21">
        <v>0</v>
      </c>
      <c r="AH6" s="497"/>
      <c r="AI6" s="497"/>
      <c r="AJ6" s="497"/>
      <c r="AK6" s="497"/>
    </row>
    <row r="7" spans="1:37" ht="12">
      <c r="A7" s="124">
        <v>100000</v>
      </c>
      <c r="B7" s="24">
        <v>2</v>
      </c>
      <c r="C7" s="21"/>
      <c r="D7" s="21"/>
      <c r="E7" s="21"/>
      <c r="F7" s="21"/>
      <c r="G7" s="21"/>
      <c r="H7" s="21"/>
      <c r="I7" s="21"/>
      <c r="J7" s="21" t="s">
        <v>134</v>
      </c>
      <c r="K7" s="21"/>
      <c r="L7" s="21"/>
      <c r="M7" s="21"/>
      <c r="N7" s="21"/>
      <c r="O7" s="21"/>
      <c r="P7" s="21"/>
      <c r="Q7" s="21"/>
      <c r="R7" s="21"/>
      <c r="S7" s="21"/>
      <c r="T7" s="21"/>
      <c r="U7" s="21"/>
      <c r="V7" s="21"/>
      <c r="W7" s="21"/>
      <c r="X7" s="21"/>
      <c r="Y7" s="21"/>
      <c r="Z7" s="21"/>
      <c r="AA7" s="21"/>
      <c r="AB7" s="21"/>
      <c r="AC7" s="21">
        <v>0</v>
      </c>
      <c r="AH7" s="497"/>
      <c r="AI7" s="497"/>
      <c r="AJ7" s="497"/>
      <c r="AK7" s="497"/>
    </row>
    <row r="8" spans="1:37" ht="12">
      <c r="A8" s="360" t="s">
        <v>134</v>
      </c>
      <c r="B8" s="24">
        <v>3</v>
      </c>
      <c r="C8" s="21"/>
      <c r="D8" s="21"/>
      <c r="E8" s="21"/>
      <c r="F8" s="21"/>
      <c r="G8" s="21"/>
      <c r="H8" s="21"/>
      <c r="I8" s="21"/>
      <c r="J8" s="21" t="s">
        <v>134</v>
      </c>
      <c r="K8" s="21" t="s">
        <v>134</v>
      </c>
      <c r="L8" s="21"/>
      <c r="M8" s="21"/>
      <c r="N8" s="21"/>
      <c r="O8" s="21"/>
      <c r="P8" s="21"/>
      <c r="Q8" s="21"/>
      <c r="R8" s="21"/>
      <c r="S8" s="21"/>
      <c r="T8" s="21"/>
      <c r="U8" s="21"/>
      <c r="V8" s="21"/>
      <c r="W8" s="21"/>
      <c r="X8" s="21"/>
      <c r="Y8" s="21"/>
      <c r="Z8" s="21"/>
      <c r="AA8" s="21"/>
      <c r="AB8" s="21"/>
      <c r="AC8" s="21">
        <v>0</v>
      </c>
      <c r="AH8" s="497"/>
      <c r="AI8" s="497"/>
      <c r="AJ8" s="497"/>
      <c r="AK8" s="497"/>
    </row>
    <row r="9" spans="1:37" ht="12">
      <c r="A9" s="360" t="s">
        <v>134</v>
      </c>
      <c r="B9" s="24">
        <v>4</v>
      </c>
      <c r="C9" s="21"/>
      <c r="D9" s="21"/>
      <c r="F9" s="21"/>
      <c r="G9" s="21"/>
      <c r="H9" s="21"/>
      <c r="I9" s="21"/>
      <c r="J9" s="21" t="s">
        <v>134</v>
      </c>
      <c r="K9" s="21"/>
      <c r="L9" s="21"/>
      <c r="M9" s="21"/>
      <c r="N9" s="21"/>
      <c r="O9" s="21" t="s">
        <v>134</v>
      </c>
      <c r="P9" s="21"/>
      <c r="Q9" s="21"/>
      <c r="R9" s="21"/>
      <c r="S9" s="21"/>
      <c r="T9" s="21"/>
      <c r="U9" s="21"/>
      <c r="V9" s="21"/>
      <c r="W9" s="21"/>
      <c r="X9" s="21"/>
      <c r="Y9" s="21"/>
      <c r="Z9" s="21"/>
      <c r="AA9" s="21"/>
      <c r="AB9" s="21"/>
      <c r="AC9" s="21">
        <v>0</v>
      </c>
      <c r="AH9" s="497"/>
      <c r="AI9" s="497"/>
      <c r="AJ9" s="497"/>
      <c r="AK9" s="497"/>
    </row>
    <row r="10" spans="1:37" ht="12">
      <c r="A10" s="360" t="s">
        <v>134</v>
      </c>
      <c r="B10" s="24">
        <v>5</v>
      </c>
      <c r="C10" s="21"/>
      <c r="D10" s="21"/>
      <c r="F10" s="21"/>
      <c r="G10" s="21"/>
      <c r="H10" s="21"/>
      <c r="I10" s="21"/>
      <c r="J10" s="21" t="s">
        <v>134</v>
      </c>
      <c r="K10" s="21"/>
      <c r="L10" s="21"/>
      <c r="M10" s="21"/>
      <c r="N10" s="21"/>
      <c r="O10" s="21"/>
      <c r="P10" s="21"/>
      <c r="Q10" s="21"/>
      <c r="R10" s="21"/>
      <c r="S10" s="21"/>
      <c r="T10" s="21"/>
      <c r="U10" s="21"/>
      <c r="V10" s="21"/>
      <c r="W10" s="21"/>
      <c r="X10" s="21"/>
      <c r="Y10" s="21"/>
      <c r="Z10" s="21"/>
      <c r="AA10" s="21"/>
      <c r="AB10" s="21"/>
      <c r="AC10" s="21">
        <v>0</v>
      </c>
      <c r="AH10" s="497"/>
      <c r="AI10" s="497"/>
      <c r="AJ10" s="497"/>
      <c r="AK10" s="497"/>
    </row>
    <row r="11" spans="1:37" ht="12">
      <c r="A11" s="360" t="s">
        <v>134</v>
      </c>
      <c r="B11" s="24">
        <v>6</v>
      </c>
      <c r="C11" s="21"/>
      <c r="D11" s="21"/>
      <c r="F11" s="21"/>
      <c r="G11" s="21"/>
      <c r="H11" s="21"/>
      <c r="I11" s="21"/>
      <c r="J11" s="21" t="s">
        <v>134</v>
      </c>
      <c r="K11" s="21"/>
      <c r="L11" s="21"/>
      <c r="M11" s="21"/>
      <c r="N11" s="21"/>
      <c r="O11" s="21"/>
      <c r="P11" s="21"/>
      <c r="Q11" s="21"/>
      <c r="R11" s="21"/>
      <c r="S11" s="21"/>
      <c r="T11" s="21"/>
      <c r="U11" s="21"/>
      <c r="V11" s="21"/>
      <c r="W11" s="21"/>
      <c r="X11" s="21"/>
      <c r="Y11" s="21"/>
      <c r="Z11" s="21"/>
      <c r="AA11" s="21"/>
      <c r="AB11" s="21"/>
      <c r="AC11" s="21">
        <v>0</v>
      </c>
      <c r="AH11" s="497"/>
      <c r="AI11" s="497"/>
      <c r="AJ11" s="497"/>
      <c r="AK11" s="497"/>
    </row>
    <row r="12" spans="1:37" ht="12">
      <c r="A12" s="360" t="s">
        <v>134</v>
      </c>
      <c r="B12" s="24">
        <v>7</v>
      </c>
      <c r="C12" s="21"/>
      <c r="D12" s="21"/>
      <c r="F12" s="21"/>
      <c r="G12" s="21"/>
      <c r="H12" s="21"/>
      <c r="I12" s="21"/>
      <c r="J12" s="21" t="s">
        <v>134</v>
      </c>
      <c r="K12" s="21" t="s">
        <v>134</v>
      </c>
      <c r="L12" s="21" t="s">
        <v>134</v>
      </c>
      <c r="M12" s="21" t="s">
        <v>134</v>
      </c>
      <c r="N12" s="21" t="s">
        <v>134</v>
      </c>
      <c r="O12" s="21" t="s">
        <v>134</v>
      </c>
      <c r="P12" s="21" t="s">
        <v>134</v>
      </c>
      <c r="Q12" s="21" t="s">
        <v>134</v>
      </c>
      <c r="R12" s="21" t="s">
        <v>134</v>
      </c>
      <c r="S12" s="21" t="s">
        <v>134</v>
      </c>
      <c r="T12" s="21" t="s">
        <v>134</v>
      </c>
      <c r="U12" s="21"/>
      <c r="V12" s="21"/>
      <c r="W12" s="21"/>
      <c r="X12" s="21"/>
      <c r="Y12" s="21"/>
      <c r="Z12" s="21"/>
      <c r="AA12" s="21"/>
      <c r="AB12" s="21"/>
      <c r="AC12" s="21">
        <v>0</v>
      </c>
      <c r="AH12" s="497"/>
      <c r="AI12" s="497"/>
      <c r="AJ12" s="497"/>
      <c r="AK12" s="497"/>
    </row>
    <row r="13" spans="1:37" ht="12">
      <c r="A13" s="360" t="s">
        <v>134</v>
      </c>
      <c r="B13" s="24"/>
      <c r="C13" s="361" t="s">
        <v>324</v>
      </c>
      <c r="D13" s="362" t="s">
        <v>325</v>
      </c>
      <c r="E13" s="362" t="s">
        <v>135</v>
      </c>
      <c r="F13" s="362" t="s">
        <v>346</v>
      </c>
      <c r="G13" s="362" t="s">
        <v>347</v>
      </c>
      <c r="H13" s="362" t="s">
        <v>354</v>
      </c>
      <c r="I13" s="363" t="s">
        <v>355</v>
      </c>
      <c r="J13" s="364" t="s">
        <v>266</v>
      </c>
      <c r="K13" s="364" t="s">
        <v>267</v>
      </c>
      <c r="L13" s="364" t="s">
        <v>265</v>
      </c>
      <c r="M13" s="364" t="s">
        <v>262</v>
      </c>
      <c r="N13" s="364" t="s">
        <v>263</v>
      </c>
      <c r="O13" s="364" t="s">
        <v>264</v>
      </c>
      <c r="P13" s="364" t="s">
        <v>268</v>
      </c>
      <c r="Q13" s="364" t="s">
        <v>269</v>
      </c>
      <c r="R13" s="364" t="s">
        <v>270</v>
      </c>
      <c r="S13" s="364" t="s">
        <v>329</v>
      </c>
      <c r="T13" s="364" t="s">
        <v>271</v>
      </c>
      <c r="U13" s="364" t="s">
        <v>272</v>
      </c>
      <c r="V13" s="364" t="s">
        <v>273</v>
      </c>
      <c r="W13" s="364" t="s">
        <v>274</v>
      </c>
      <c r="X13" s="364" t="s">
        <v>275</v>
      </c>
      <c r="Y13" s="364" t="s">
        <v>330</v>
      </c>
      <c r="Z13" s="364" t="s">
        <v>276</v>
      </c>
      <c r="AA13" s="364" t="s">
        <v>277</v>
      </c>
      <c r="AB13" s="364" t="s">
        <v>278</v>
      </c>
      <c r="AC13" s="21">
        <v>0</v>
      </c>
      <c r="AH13" s="497"/>
      <c r="AI13" s="497"/>
      <c r="AJ13" s="497"/>
      <c r="AK13" s="497"/>
    </row>
    <row r="14" spans="1:37" ht="12">
      <c r="A14" s="360" t="s">
        <v>134</v>
      </c>
      <c r="B14" s="24">
        <v>9</v>
      </c>
      <c r="C14" s="431">
        <v>25822.844954474323</v>
      </c>
      <c r="D14" s="390">
        <v>25822.844954474323</v>
      </c>
      <c r="E14" s="390">
        <v>25822.844954474323</v>
      </c>
      <c r="F14" s="390">
        <v>25822.844954474323</v>
      </c>
      <c r="G14" s="390">
        <v>25822.844954474323</v>
      </c>
      <c r="H14" s="390">
        <v>25822.844954474323</v>
      </c>
      <c r="I14" s="432">
        <v>25822.844954474323</v>
      </c>
      <c r="J14" s="390">
        <v>25822.844954474323</v>
      </c>
      <c r="K14" s="390">
        <v>25822.844954474323</v>
      </c>
      <c r="L14" s="390">
        <v>25822.844954474323</v>
      </c>
      <c r="M14" s="390">
        <v>25822.844954474323</v>
      </c>
      <c r="N14" s="390">
        <v>25822.844954474323</v>
      </c>
      <c r="O14" s="390">
        <v>25822.844954474323</v>
      </c>
      <c r="P14" s="390">
        <v>25822.844954474323</v>
      </c>
      <c r="Q14" s="390">
        <v>25822.844954474323</v>
      </c>
      <c r="R14" s="390">
        <v>25822.844954474323</v>
      </c>
      <c r="S14" s="390">
        <v>25822.844954474323</v>
      </c>
      <c r="T14" s="390">
        <v>25822.844954474323</v>
      </c>
      <c r="U14" s="390">
        <v>25822.844954474323</v>
      </c>
      <c r="V14" s="390">
        <v>25822.844954474323</v>
      </c>
      <c r="W14" s="390">
        <v>25822.844954474323</v>
      </c>
      <c r="X14" s="390">
        <v>25822.844954474323</v>
      </c>
      <c r="Y14" s="390">
        <v>25822.844954474323</v>
      </c>
      <c r="Z14" s="390">
        <v>25822.844954474323</v>
      </c>
      <c r="AA14" s="390">
        <v>25822.844954474323</v>
      </c>
      <c r="AB14" s="390">
        <v>25822.844954474323</v>
      </c>
      <c r="AC14" s="21">
        <v>0</v>
      </c>
      <c r="AH14" s="497"/>
      <c r="AI14" s="497"/>
      <c r="AJ14" s="497"/>
      <c r="AK14" s="497"/>
    </row>
    <row r="15" spans="1:37" ht="12">
      <c r="A15" s="360" t="s">
        <v>134</v>
      </c>
      <c r="B15" s="24">
        <v>10</v>
      </c>
      <c r="C15" s="431">
        <v>51645689.90894865</v>
      </c>
      <c r="D15" s="390">
        <v>51645689.90894865</v>
      </c>
      <c r="E15" s="390">
        <v>51645689.90894865</v>
      </c>
      <c r="F15" s="390">
        <v>51645689.90894865</v>
      </c>
      <c r="G15" s="390">
        <v>51645689.90894865</v>
      </c>
      <c r="H15" s="390">
        <v>51645689.90894865</v>
      </c>
      <c r="I15" s="432">
        <v>51645689.90894865</v>
      </c>
      <c r="J15" s="390">
        <v>51645689.90894865</v>
      </c>
      <c r="K15" s="390">
        <v>51645689.90894865</v>
      </c>
      <c r="L15" s="390">
        <v>51645689.90894865</v>
      </c>
      <c r="M15" s="390">
        <v>51645689.90894865</v>
      </c>
      <c r="N15" s="390">
        <v>51645689.90894865</v>
      </c>
      <c r="O15" s="390">
        <v>51645689.90894865</v>
      </c>
      <c r="P15" s="390">
        <v>51645689.90894865</v>
      </c>
      <c r="Q15" s="390">
        <v>51645689.90894865</v>
      </c>
      <c r="R15" s="390">
        <v>51645689.90894865</v>
      </c>
      <c r="S15" s="390">
        <v>51645689.90894865</v>
      </c>
      <c r="T15" s="390">
        <v>51645689.90894865</v>
      </c>
      <c r="U15" s="390">
        <v>51645689.90894865</v>
      </c>
      <c r="V15" s="390">
        <v>51645689.90894865</v>
      </c>
      <c r="W15" s="390">
        <v>51645689.90894865</v>
      </c>
      <c r="X15" s="390">
        <v>51645689.90894865</v>
      </c>
      <c r="Y15" s="390">
        <v>51645689.90894865</v>
      </c>
      <c r="Z15" s="390">
        <v>51645689.90894865</v>
      </c>
      <c r="AA15" s="390">
        <v>51645689.90894865</v>
      </c>
      <c r="AB15" s="390">
        <v>51645689.90894865</v>
      </c>
      <c r="AC15" s="21">
        <v>0</v>
      </c>
      <c r="AH15" s="497"/>
      <c r="AI15" s="497"/>
      <c r="AJ15" s="497"/>
      <c r="AK15" s="497"/>
    </row>
    <row r="16" spans="1:37" ht="15">
      <c r="A16" s="365" t="s">
        <v>136</v>
      </c>
      <c r="B16" s="24">
        <v>11</v>
      </c>
      <c r="C16" s="366">
        <v>12.4559</v>
      </c>
      <c r="D16" s="106">
        <v>14.727</v>
      </c>
      <c r="E16" s="106">
        <v>18.9434</v>
      </c>
      <c r="F16" s="106">
        <v>24.9135</v>
      </c>
      <c r="G16" s="106">
        <v>32.6375</v>
      </c>
      <c r="H16" s="106">
        <v>15.3963</v>
      </c>
      <c r="I16" s="367">
        <v>20.1015</v>
      </c>
      <c r="J16" s="21">
        <v>11.7778</v>
      </c>
      <c r="K16" s="21">
        <v>14.3803</v>
      </c>
      <c r="L16" s="21">
        <v>21.2001</v>
      </c>
      <c r="M16" s="21">
        <v>16.4889</v>
      </c>
      <c r="N16" s="21">
        <v>17.7554</v>
      </c>
      <c r="O16" s="21">
        <v>23.5555</v>
      </c>
      <c r="P16" s="21">
        <v>14.1333</v>
      </c>
      <c r="Q16" s="21">
        <v>11.7778</v>
      </c>
      <c r="R16" s="21">
        <v>9.4222</v>
      </c>
      <c r="S16" s="368">
        <v>12.469</v>
      </c>
      <c r="T16" s="21">
        <v>7.9619</v>
      </c>
      <c r="U16" s="21">
        <v>13.7643</v>
      </c>
      <c r="V16" s="21">
        <v>8.1897</v>
      </c>
      <c r="W16" s="21">
        <v>9.5883</v>
      </c>
      <c r="X16" s="21">
        <v>11.9985</v>
      </c>
      <c r="Y16" s="21">
        <v>12.8705</v>
      </c>
      <c r="Z16" s="21">
        <v>10.1459</v>
      </c>
      <c r="AA16" s="21">
        <v>17.3828</v>
      </c>
      <c r="AB16" s="21">
        <v>20.6537</v>
      </c>
      <c r="AC16" s="21">
        <v>0</v>
      </c>
      <c r="AH16" s="497"/>
      <c r="AI16" s="497"/>
      <c r="AJ16" s="497"/>
      <c r="AK16" s="497"/>
    </row>
    <row r="17" spans="1:37" ht="15">
      <c r="A17" s="365" t="s">
        <v>137</v>
      </c>
      <c r="B17" s="24">
        <v>12</v>
      </c>
      <c r="C17" s="366">
        <v>2.9741</v>
      </c>
      <c r="D17" s="106">
        <v>3.6426</v>
      </c>
      <c r="E17" s="106">
        <v>3.8575</v>
      </c>
      <c r="F17" s="106">
        <v>4.7702</v>
      </c>
      <c r="G17" s="106">
        <v>6.0967</v>
      </c>
      <c r="H17" s="106">
        <v>3.2347</v>
      </c>
      <c r="I17" s="367">
        <v>3.7664</v>
      </c>
      <c r="J17" s="21">
        <v>2.241</v>
      </c>
      <c r="K17" s="21">
        <v>2.6884</v>
      </c>
      <c r="L17" s="21">
        <v>3.0291</v>
      </c>
      <c r="M17" s="21">
        <v>2.9528</v>
      </c>
      <c r="N17" s="21">
        <v>3.3157</v>
      </c>
      <c r="O17" s="21">
        <v>4.482</v>
      </c>
      <c r="P17" s="21">
        <v>3.8014</v>
      </c>
      <c r="Q17" s="21">
        <v>2.887</v>
      </c>
      <c r="R17" s="21">
        <v>2.4412</v>
      </c>
      <c r="S17" s="368">
        <v>4.7082</v>
      </c>
      <c r="T17" s="21">
        <v>2.7513</v>
      </c>
      <c r="U17" s="21">
        <v>3.9316</v>
      </c>
      <c r="V17" s="21">
        <v>2.3337</v>
      </c>
      <c r="W17" s="21">
        <v>3.1431</v>
      </c>
      <c r="X17" s="21">
        <v>3.5782</v>
      </c>
      <c r="Y17" s="21">
        <v>2.9736</v>
      </c>
      <c r="Z17" s="21">
        <v>2.1833</v>
      </c>
      <c r="AA17" s="21">
        <v>3.913</v>
      </c>
      <c r="AB17" s="21">
        <v>4.6379</v>
      </c>
      <c r="AC17" s="21">
        <v>0</v>
      </c>
      <c r="AH17" s="497"/>
      <c r="AI17" s="497"/>
      <c r="AJ17" s="497"/>
      <c r="AK17" s="497"/>
    </row>
    <row r="18" spans="1:37" ht="12">
      <c r="A18" s="360"/>
      <c r="B18" s="24">
        <v>13</v>
      </c>
      <c r="C18" s="366">
        <v>2.3301</v>
      </c>
      <c r="D18" s="106">
        <v>2.7961</v>
      </c>
      <c r="E18" s="106">
        <v>2.9689</v>
      </c>
      <c r="F18" s="106">
        <v>3.6743</v>
      </c>
      <c r="G18" s="106">
        <v>4.806</v>
      </c>
      <c r="H18" s="106">
        <v>2.5425</v>
      </c>
      <c r="I18" s="367">
        <v>2.9689</v>
      </c>
      <c r="J18" s="21">
        <v>1.7658</v>
      </c>
      <c r="K18" s="21">
        <v>2.1193</v>
      </c>
      <c r="L18" s="21">
        <v>2.403</v>
      </c>
      <c r="M18" s="21">
        <v>2.3301</v>
      </c>
      <c r="N18" s="21">
        <v>2.6138</v>
      </c>
      <c r="O18" s="21">
        <v>3.5316</v>
      </c>
      <c r="P18" s="21">
        <v>2.9689</v>
      </c>
      <c r="Q18" s="21">
        <v>2.2603</v>
      </c>
      <c r="R18" s="21">
        <v>1.9085</v>
      </c>
      <c r="S18" s="368">
        <v>2</v>
      </c>
      <c r="T18" s="21">
        <v>2.1335</v>
      </c>
      <c r="U18" s="21">
        <v>3.0655</v>
      </c>
      <c r="V18" s="21">
        <v>1.8197</v>
      </c>
      <c r="W18" s="109">
        <v>2.4411</v>
      </c>
      <c r="X18" s="109">
        <v>2.7866</v>
      </c>
      <c r="Y18" s="21">
        <v>2.3316</v>
      </c>
      <c r="Z18" s="21">
        <v>1.7151</v>
      </c>
      <c r="AA18" s="21">
        <v>3.0703</v>
      </c>
      <c r="AB18" s="21">
        <v>3.6394</v>
      </c>
      <c r="AC18" s="21">
        <v>0</v>
      </c>
      <c r="AH18" s="497"/>
      <c r="AI18" s="497"/>
      <c r="AJ18" s="497"/>
      <c r="AK18" s="497"/>
    </row>
    <row r="19" spans="1:37" ht="12">
      <c r="A19" s="360"/>
      <c r="B19" s="24">
        <v>14</v>
      </c>
      <c r="C19" s="366">
        <v>-0.362475797</v>
      </c>
      <c r="D19" s="106">
        <v>-0.348087186</v>
      </c>
      <c r="E19" s="106">
        <v>-0.380099837</v>
      </c>
      <c r="F19" s="106">
        <v>-0.389989558</v>
      </c>
      <c r="G19" s="106">
        <v>-0.404028835</v>
      </c>
      <c r="H19" s="106">
        <v>-0.384364863</v>
      </c>
      <c r="I19" s="367">
        <v>-0.403538467</v>
      </c>
      <c r="J19" s="21">
        <v>-0.400979213</v>
      </c>
      <c r="K19" s="21">
        <v>-0.403915538</v>
      </c>
      <c r="L19" s="21">
        <v>-0.447571561</v>
      </c>
      <c r="M19" s="21">
        <v>-0.411007347</v>
      </c>
      <c r="N19" s="21">
        <v>-0.404084946</v>
      </c>
      <c r="O19" s="21">
        <v>-0.400978556</v>
      </c>
      <c r="P19" s="21">
        <v>-0.341545259</v>
      </c>
      <c r="Q19" s="21">
        <v>-0.357907439</v>
      </c>
      <c r="R19" s="21">
        <v>-0.348185613</v>
      </c>
      <c r="S19" s="368">
        <v>-0.451353518</v>
      </c>
      <c r="T19" s="21">
        <v>-0.295271914</v>
      </c>
      <c r="U19" s="21">
        <v>-0.330735265</v>
      </c>
      <c r="V19" s="21">
        <v>-0.331162187</v>
      </c>
      <c r="W19" s="109">
        <v>-0.305298293</v>
      </c>
      <c r="X19" s="109">
        <v>-0.322882079</v>
      </c>
      <c r="Y19" s="21">
        <v>-0.368145778</v>
      </c>
      <c r="Z19" s="21">
        <v>-0.380316864</v>
      </c>
      <c r="AA19" s="21">
        <v>-0.37262385</v>
      </c>
      <c r="AB19" s="21">
        <v>-0.373055082</v>
      </c>
      <c r="AC19" s="21">
        <v>0</v>
      </c>
      <c r="AH19" s="497"/>
      <c r="AI19" s="497"/>
      <c r="AJ19" s="497"/>
      <c r="AK19" s="497"/>
    </row>
    <row r="20" spans="1:37" ht="12">
      <c r="A20" s="360"/>
      <c r="B20" s="24">
        <v>15</v>
      </c>
      <c r="C20" s="369">
        <v>3.796119632</v>
      </c>
      <c r="D20" s="313">
        <v>3.756586012</v>
      </c>
      <c r="E20" s="313">
        <v>4.129804521</v>
      </c>
      <c r="F20" s="313">
        <v>4.32965606</v>
      </c>
      <c r="G20" s="313">
        <v>4.555142495</v>
      </c>
      <c r="H20" s="313">
        <v>4.068245092</v>
      </c>
      <c r="I20" s="370">
        <v>4.340653828</v>
      </c>
      <c r="J20" s="21">
        <v>4.087647772</v>
      </c>
      <c r="K20" s="21">
        <v>4.198259504</v>
      </c>
      <c r="L20" s="21">
        <v>4.719930875</v>
      </c>
      <c r="M20" s="21">
        <v>4.315359685</v>
      </c>
      <c r="N20" s="21">
        <v>4.291209646</v>
      </c>
      <c r="O20" s="21">
        <v>4.388670541</v>
      </c>
      <c r="P20" s="21">
        <v>3.677382095</v>
      </c>
      <c r="Q20" s="21">
        <v>3.73404152</v>
      </c>
      <c r="R20" s="21">
        <v>3.556524445</v>
      </c>
      <c r="S20" s="368">
        <v>4.494862399</v>
      </c>
      <c r="T20" s="21">
        <v>3.03883896</v>
      </c>
      <c r="U20" s="21">
        <v>3.575655954</v>
      </c>
      <c r="V20" s="21">
        <v>3.353747178</v>
      </c>
      <c r="W20" s="109">
        <v>3.204618336</v>
      </c>
      <c r="X20" s="109">
        <v>3.450208659</v>
      </c>
      <c r="Y20" s="21">
        <v>3.857138585</v>
      </c>
      <c r="Z20" s="21">
        <v>3.853916919</v>
      </c>
      <c r="AA20" s="21">
        <v>4.024535343</v>
      </c>
      <c r="AB20" s="21">
        <v>4.102953975</v>
      </c>
      <c r="AC20" s="21">
        <v>0</v>
      </c>
      <c r="AH20" s="497"/>
      <c r="AI20" s="497"/>
      <c r="AJ20" s="497"/>
      <c r="AK20" s="497"/>
    </row>
    <row r="21" spans="1:37" ht="12">
      <c r="A21" s="360"/>
      <c r="B21" s="24"/>
      <c r="C21" s="371" t="s">
        <v>324</v>
      </c>
      <c r="D21" s="314" t="s">
        <v>325</v>
      </c>
      <c r="E21" s="314" t="s">
        <v>213</v>
      </c>
      <c r="F21" s="314" t="s">
        <v>346</v>
      </c>
      <c r="G21" s="314" t="s">
        <v>347</v>
      </c>
      <c r="H21" s="314" t="s">
        <v>354</v>
      </c>
      <c r="I21" s="372" t="s">
        <v>355</v>
      </c>
      <c r="J21" s="373" t="s">
        <v>266</v>
      </c>
      <c r="K21" s="373" t="s">
        <v>267</v>
      </c>
      <c r="L21" s="373" t="s">
        <v>265</v>
      </c>
      <c r="M21" s="373" t="s">
        <v>262</v>
      </c>
      <c r="N21" s="373" t="s">
        <v>263</v>
      </c>
      <c r="O21" s="373" t="s">
        <v>264</v>
      </c>
      <c r="P21" s="373" t="s">
        <v>268</v>
      </c>
      <c r="Q21" s="373" t="s">
        <v>269</v>
      </c>
      <c r="R21" s="373" t="s">
        <v>270</v>
      </c>
      <c r="S21" s="373" t="s">
        <v>329</v>
      </c>
      <c r="T21" s="373" t="s">
        <v>271</v>
      </c>
      <c r="U21" s="373" t="s">
        <v>272</v>
      </c>
      <c r="V21" s="373" t="s">
        <v>273</v>
      </c>
      <c r="W21" s="373" t="s">
        <v>274</v>
      </c>
      <c r="X21" s="373" t="s">
        <v>275</v>
      </c>
      <c r="Y21" s="373" t="s">
        <v>330</v>
      </c>
      <c r="Z21" s="373" t="s">
        <v>276</v>
      </c>
      <c r="AA21" s="373" t="s">
        <v>277</v>
      </c>
      <c r="AB21" s="373" t="s">
        <v>278</v>
      </c>
      <c r="AC21" s="21">
        <v>0</v>
      </c>
      <c r="AH21" s="497"/>
      <c r="AI21" s="497"/>
      <c r="AJ21" s="497"/>
      <c r="AK21" s="497"/>
    </row>
    <row r="22" spans="1:37" ht="12">
      <c r="A22" s="360"/>
      <c r="B22" s="24">
        <v>1</v>
      </c>
      <c r="C22" s="366">
        <v>0.03</v>
      </c>
      <c r="D22" s="106">
        <v>0.03</v>
      </c>
      <c r="E22" s="106">
        <v>0.03</v>
      </c>
      <c r="F22" s="106">
        <v>0.03</v>
      </c>
      <c r="G22" s="106">
        <v>0.03</v>
      </c>
      <c r="H22" s="106">
        <v>0.03</v>
      </c>
      <c r="I22" s="367">
        <v>0.03</v>
      </c>
      <c r="J22" s="367">
        <v>0.03</v>
      </c>
      <c r="K22" s="367">
        <v>0.03</v>
      </c>
      <c r="L22" s="367">
        <v>0.03</v>
      </c>
      <c r="M22" s="367">
        <v>0.03</v>
      </c>
      <c r="N22" s="367">
        <v>0.03</v>
      </c>
      <c r="O22" s="367">
        <v>0.03</v>
      </c>
      <c r="P22" s="367">
        <v>0.03</v>
      </c>
      <c r="Q22" s="367">
        <v>0.03</v>
      </c>
      <c r="R22" s="367">
        <v>0.03</v>
      </c>
      <c r="S22" s="367">
        <v>0.03</v>
      </c>
      <c r="T22" s="367">
        <v>0.03</v>
      </c>
      <c r="U22" s="367">
        <v>0.03</v>
      </c>
      <c r="V22" s="367">
        <v>0.03</v>
      </c>
      <c r="W22" s="367">
        <v>0.03</v>
      </c>
      <c r="X22" s="367">
        <v>0.03</v>
      </c>
      <c r="Y22" s="367">
        <v>0.03</v>
      </c>
      <c r="Z22" s="367">
        <v>0.03</v>
      </c>
      <c r="AA22" s="367">
        <v>0.03</v>
      </c>
      <c r="AB22" s="367">
        <v>0.03</v>
      </c>
      <c r="AC22" s="21">
        <v>0</v>
      </c>
      <c r="AH22" s="497"/>
      <c r="AI22" s="497"/>
      <c r="AJ22" s="497"/>
      <c r="AK22" s="497"/>
    </row>
    <row r="23" spans="1:37" ht="12">
      <c r="A23" s="374"/>
      <c r="B23" s="24">
        <v>2</v>
      </c>
      <c r="C23" s="366">
        <v>0.07</v>
      </c>
      <c r="D23" s="106">
        <v>0.07</v>
      </c>
      <c r="E23" s="106">
        <v>0.07</v>
      </c>
      <c r="F23" s="106">
        <v>0.07</v>
      </c>
      <c r="G23" s="106">
        <v>0.07</v>
      </c>
      <c r="H23" s="106">
        <v>0.07</v>
      </c>
      <c r="I23" s="367">
        <v>0.07</v>
      </c>
      <c r="J23" s="367">
        <v>0.07</v>
      </c>
      <c r="K23" s="367">
        <v>0.07</v>
      </c>
      <c r="L23" s="367">
        <v>0.07</v>
      </c>
      <c r="M23" s="367">
        <v>0.07</v>
      </c>
      <c r="N23" s="367">
        <v>0.07</v>
      </c>
      <c r="O23" s="367">
        <v>0.07</v>
      </c>
      <c r="P23" s="367">
        <v>0.07</v>
      </c>
      <c r="Q23" s="367">
        <v>0.07</v>
      </c>
      <c r="R23" s="367">
        <v>0.07</v>
      </c>
      <c r="S23" s="367">
        <v>0.07</v>
      </c>
      <c r="T23" s="367">
        <v>0.07</v>
      </c>
      <c r="U23" s="367">
        <v>0.07</v>
      </c>
      <c r="V23" s="367">
        <v>0.07</v>
      </c>
      <c r="W23" s="367">
        <v>0.07</v>
      </c>
      <c r="X23" s="367">
        <v>0.07</v>
      </c>
      <c r="Y23" s="367">
        <v>0.07</v>
      </c>
      <c r="Z23" s="367">
        <v>0.07</v>
      </c>
      <c r="AA23" s="367">
        <v>0.07</v>
      </c>
      <c r="AB23" s="367">
        <v>0.07</v>
      </c>
      <c r="AC23" s="21">
        <v>0</v>
      </c>
      <c r="AH23" s="497"/>
      <c r="AI23" s="497"/>
      <c r="AJ23" s="497"/>
      <c r="AK23" s="497"/>
    </row>
    <row r="24" spans="1:37" ht="12">
      <c r="A24" s="360"/>
      <c r="B24" s="24">
        <v>3</v>
      </c>
      <c r="C24" s="366">
        <v>0.03</v>
      </c>
      <c r="D24" s="106">
        <v>0.03</v>
      </c>
      <c r="E24" s="106">
        <v>0.03</v>
      </c>
      <c r="F24" s="106">
        <v>0.03</v>
      </c>
      <c r="G24" s="106">
        <v>0.03</v>
      </c>
      <c r="H24" s="106">
        <v>0.03</v>
      </c>
      <c r="I24" s="367">
        <v>0.03</v>
      </c>
      <c r="J24" s="367">
        <v>0.03</v>
      </c>
      <c r="K24" s="367">
        <v>0.03</v>
      </c>
      <c r="L24" s="367">
        <v>0.03</v>
      </c>
      <c r="M24" s="367">
        <v>0.03</v>
      </c>
      <c r="N24" s="367">
        <v>0.03</v>
      </c>
      <c r="O24" s="367">
        <v>0.03</v>
      </c>
      <c r="P24" s="367">
        <v>0.03</v>
      </c>
      <c r="Q24" s="367">
        <v>0.03</v>
      </c>
      <c r="R24" s="367">
        <v>0.03</v>
      </c>
      <c r="S24" s="367">
        <v>0.03</v>
      </c>
      <c r="T24" s="367">
        <v>0.03</v>
      </c>
      <c r="U24" s="367">
        <v>0.03</v>
      </c>
      <c r="V24" s="367">
        <v>0.03</v>
      </c>
      <c r="W24" s="367">
        <v>0.03</v>
      </c>
      <c r="X24" s="367">
        <v>0.03</v>
      </c>
      <c r="Y24" s="367">
        <v>0.03</v>
      </c>
      <c r="Z24" s="367">
        <v>0.03</v>
      </c>
      <c r="AA24" s="367">
        <v>0.03</v>
      </c>
      <c r="AB24" s="367">
        <v>0.03</v>
      </c>
      <c r="AC24" s="21">
        <v>0</v>
      </c>
      <c r="AH24" s="497"/>
      <c r="AI24" s="497"/>
      <c r="AJ24" s="497"/>
      <c r="AK24" s="497"/>
    </row>
    <row r="25" spans="1:37" ht="12">
      <c r="A25" s="360"/>
      <c r="B25" s="24">
        <v>4</v>
      </c>
      <c r="C25" s="366">
        <v>0.015</v>
      </c>
      <c r="D25" s="106">
        <v>0.015</v>
      </c>
      <c r="E25" s="106">
        <v>0.015</v>
      </c>
      <c r="F25" s="106">
        <v>0.015</v>
      </c>
      <c r="G25" s="106">
        <v>0.015</v>
      </c>
      <c r="H25" s="106">
        <v>0.015</v>
      </c>
      <c r="I25" s="367">
        <v>0.015</v>
      </c>
      <c r="J25" s="367">
        <v>0.015</v>
      </c>
      <c r="K25" s="367">
        <v>0.015</v>
      </c>
      <c r="L25" s="367">
        <v>0.015</v>
      </c>
      <c r="M25" s="367">
        <v>0.015</v>
      </c>
      <c r="N25" s="367">
        <v>0.015</v>
      </c>
      <c r="O25" s="367">
        <v>0.015</v>
      </c>
      <c r="P25" s="367">
        <v>0.015</v>
      </c>
      <c r="Q25" s="367">
        <v>0.015</v>
      </c>
      <c r="R25" s="367">
        <v>0.015</v>
      </c>
      <c r="S25" s="367">
        <v>0.015</v>
      </c>
      <c r="T25" s="367">
        <v>0.015</v>
      </c>
      <c r="U25" s="367">
        <v>0.015</v>
      </c>
      <c r="V25" s="367">
        <v>0.015</v>
      </c>
      <c r="W25" s="367">
        <v>0.015</v>
      </c>
      <c r="X25" s="367">
        <v>0.015</v>
      </c>
      <c r="Y25" s="367">
        <v>0.015</v>
      </c>
      <c r="Z25" s="367">
        <v>0.015</v>
      </c>
      <c r="AA25" s="367">
        <v>0.015</v>
      </c>
      <c r="AB25" s="367">
        <v>0.015</v>
      </c>
      <c r="AC25" s="21">
        <v>0</v>
      </c>
      <c r="AH25" s="497"/>
      <c r="AI25" s="497"/>
      <c r="AJ25" s="497"/>
      <c r="AK25" s="497"/>
    </row>
    <row r="26" spans="1:37" ht="12">
      <c r="A26" s="360"/>
      <c r="B26" s="24">
        <v>5</v>
      </c>
      <c r="C26" s="366">
        <v>0.015</v>
      </c>
      <c r="D26" s="106">
        <v>0.015</v>
      </c>
      <c r="E26" s="106">
        <v>0.015</v>
      </c>
      <c r="F26" s="106">
        <v>0.015</v>
      </c>
      <c r="G26" s="106">
        <v>0.015</v>
      </c>
      <c r="H26" s="106">
        <v>0.015</v>
      </c>
      <c r="I26" s="367">
        <v>0.015</v>
      </c>
      <c r="J26" s="367">
        <v>0.015</v>
      </c>
      <c r="K26" s="367">
        <v>0.015</v>
      </c>
      <c r="L26" s="367">
        <v>0.015</v>
      </c>
      <c r="M26" s="367">
        <v>0.015</v>
      </c>
      <c r="N26" s="367">
        <v>0.015</v>
      </c>
      <c r="O26" s="367">
        <v>0.015</v>
      </c>
      <c r="P26" s="367">
        <v>0.015</v>
      </c>
      <c r="Q26" s="367">
        <v>0.015</v>
      </c>
      <c r="R26" s="367">
        <v>0.015</v>
      </c>
      <c r="S26" s="367">
        <v>0.015</v>
      </c>
      <c r="T26" s="367">
        <v>0.015</v>
      </c>
      <c r="U26" s="367">
        <v>0.015</v>
      </c>
      <c r="V26" s="367">
        <v>0.015</v>
      </c>
      <c r="W26" s="367">
        <v>0.015</v>
      </c>
      <c r="X26" s="367">
        <v>0.015</v>
      </c>
      <c r="Y26" s="367">
        <v>0.015</v>
      </c>
      <c r="Z26" s="367">
        <v>0.015</v>
      </c>
      <c r="AA26" s="367">
        <v>0.015</v>
      </c>
      <c r="AB26" s="367">
        <v>0.015</v>
      </c>
      <c r="AC26" s="21">
        <v>0</v>
      </c>
      <c r="AH26" s="497"/>
      <c r="AI26" s="497"/>
      <c r="AJ26" s="497"/>
      <c r="AK26" s="497"/>
    </row>
    <row r="27" spans="1:37" ht="15">
      <c r="A27" s="365" t="s">
        <v>138</v>
      </c>
      <c r="B27" s="24">
        <v>6</v>
      </c>
      <c r="C27" s="366">
        <v>0.015</v>
      </c>
      <c r="D27" s="106">
        <v>0.015</v>
      </c>
      <c r="E27" s="106">
        <v>0.015</v>
      </c>
      <c r="F27" s="106">
        <v>0.015</v>
      </c>
      <c r="G27" s="106">
        <v>0.015</v>
      </c>
      <c r="H27" s="106">
        <v>0.015</v>
      </c>
      <c r="I27" s="367">
        <v>0.015</v>
      </c>
      <c r="J27" s="367">
        <v>0.015</v>
      </c>
      <c r="K27" s="367">
        <v>0.015</v>
      </c>
      <c r="L27" s="367">
        <v>0.015</v>
      </c>
      <c r="M27" s="367">
        <v>0.015</v>
      </c>
      <c r="N27" s="367">
        <v>0.015</v>
      </c>
      <c r="O27" s="367">
        <v>0.015</v>
      </c>
      <c r="P27" s="367">
        <v>0.015</v>
      </c>
      <c r="Q27" s="367">
        <v>0.015</v>
      </c>
      <c r="R27" s="367">
        <v>0.015</v>
      </c>
      <c r="S27" s="367">
        <v>0.015</v>
      </c>
      <c r="T27" s="367">
        <v>0.015</v>
      </c>
      <c r="U27" s="367">
        <v>0.015</v>
      </c>
      <c r="V27" s="367">
        <v>0.015</v>
      </c>
      <c r="W27" s="367">
        <v>0.015</v>
      </c>
      <c r="X27" s="367">
        <v>0.015</v>
      </c>
      <c r="Y27" s="367">
        <v>0.015</v>
      </c>
      <c r="Z27" s="367">
        <v>0.015</v>
      </c>
      <c r="AA27" s="367">
        <v>0.015</v>
      </c>
      <c r="AB27" s="367">
        <v>0.015</v>
      </c>
      <c r="AC27" s="21">
        <v>0</v>
      </c>
      <c r="AH27" s="497"/>
      <c r="AI27" s="497"/>
      <c r="AJ27" s="497"/>
      <c r="AK27" s="497"/>
    </row>
    <row r="28" spans="1:37" ht="12">
      <c r="A28" s="374"/>
      <c r="B28" s="24">
        <v>7</v>
      </c>
      <c r="C28" s="366">
        <v>0.015</v>
      </c>
      <c r="D28" s="106">
        <v>0.015</v>
      </c>
      <c r="E28" s="106">
        <v>0.015</v>
      </c>
      <c r="F28" s="106">
        <v>0.015</v>
      </c>
      <c r="G28" s="106">
        <v>0.015</v>
      </c>
      <c r="H28" s="106">
        <v>0.015</v>
      </c>
      <c r="I28" s="367">
        <v>0.015</v>
      </c>
      <c r="J28" s="367">
        <v>0.015</v>
      </c>
      <c r="K28" s="367">
        <v>0.015</v>
      </c>
      <c r="L28" s="367">
        <v>0.015</v>
      </c>
      <c r="M28" s="367">
        <v>0.015</v>
      </c>
      <c r="N28" s="367">
        <v>0.015</v>
      </c>
      <c r="O28" s="367">
        <v>0.015</v>
      </c>
      <c r="P28" s="367">
        <v>0.015</v>
      </c>
      <c r="Q28" s="367">
        <v>0.015</v>
      </c>
      <c r="R28" s="367">
        <v>0.015</v>
      </c>
      <c r="S28" s="367">
        <v>0.015</v>
      </c>
      <c r="T28" s="367">
        <v>0.015</v>
      </c>
      <c r="U28" s="367">
        <v>0.015</v>
      </c>
      <c r="V28" s="367">
        <v>0.015</v>
      </c>
      <c r="W28" s="367">
        <v>0.015</v>
      </c>
      <c r="X28" s="367">
        <v>0.015</v>
      </c>
      <c r="Y28" s="367">
        <v>0.015</v>
      </c>
      <c r="Z28" s="367">
        <v>0.015</v>
      </c>
      <c r="AA28" s="367">
        <v>0.015</v>
      </c>
      <c r="AB28" s="367">
        <v>0.015</v>
      </c>
      <c r="AC28" s="21">
        <v>0</v>
      </c>
      <c r="AH28" s="497"/>
      <c r="AI28" s="497"/>
      <c r="AJ28" s="497"/>
      <c r="AK28" s="497"/>
    </row>
    <row r="29" spans="1:37" ht="12">
      <c r="A29" s="360"/>
      <c r="B29" s="24">
        <v>8</v>
      </c>
      <c r="C29" s="366">
        <v>0.03</v>
      </c>
      <c r="D29" s="106">
        <v>0.03</v>
      </c>
      <c r="E29" s="106">
        <v>0.03</v>
      </c>
      <c r="F29" s="106">
        <v>0.03</v>
      </c>
      <c r="G29" s="106">
        <v>0.03</v>
      </c>
      <c r="H29" s="106">
        <v>0.03</v>
      </c>
      <c r="I29" s="367">
        <v>0.03</v>
      </c>
      <c r="J29" s="367">
        <v>0.01</v>
      </c>
      <c r="K29" s="367">
        <v>0.01</v>
      </c>
      <c r="L29" s="367">
        <v>0.01</v>
      </c>
      <c r="M29" s="367">
        <v>0.01</v>
      </c>
      <c r="N29" s="367">
        <v>0.01</v>
      </c>
      <c r="O29" s="367">
        <v>0.01</v>
      </c>
      <c r="P29" s="367">
        <v>0.01</v>
      </c>
      <c r="Q29" s="367">
        <v>0.01</v>
      </c>
      <c r="R29" s="367">
        <v>0.01</v>
      </c>
      <c r="S29" s="367">
        <v>0.01</v>
      </c>
      <c r="T29" s="367">
        <v>0.03</v>
      </c>
      <c r="U29" s="367">
        <v>0.03</v>
      </c>
      <c r="V29" s="367">
        <v>0.01</v>
      </c>
      <c r="W29" s="367">
        <v>0.01</v>
      </c>
      <c r="X29" s="367">
        <v>0.01</v>
      </c>
      <c r="Y29" s="367">
        <v>0.01</v>
      </c>
      <c r="Z29" s="367">
        <v>0.03</v>
      </c>
      <c r="AA29" s="367">
        <v>0.03</v>
      </c>
      <c r="AB29" s="367">
        <v>0.03</v>
      </c>
      <c r="AC29" s="21">
        <v>0</v>
      </c>
      <c r="AH29" s="497"/>
      <c r="AI29" s="497"/>
      <c r="AJ29" s="497"/>
      <c r="AK29" s="497"/>
    </row>
    <row r="30" spans="1:37" ht="12">
      <c r="A30" s="360"/>
      <c r="B30" s="24">
        <v>9</v>
      </c>
      <c r="C30" s="366">
        <v>0.07</v>
      </c>
      <c r="D30" s="106">
        <v>0.07</v>
      </c>
      <c r="E30" s="106">
        <v>0.07</v>
      </c>
      <c r="F30" s="106">
        <v>0.07</v>
      </c>
      <c r="G30" s="106">
        <v>0.07</v>
      </c>
      <c r="H30" s="106">
        <v>0.07</v>
      </c>
      <c r="I30" s="367">
        <v>0.07</v>
      </c>
      <c r="J30" s="367">
        <v>0.08</v>
      </c>
      <c r="K30" s="367">
        <v>0.08</v>
      </c>
      <c r="L30" s="367">
        <v>0.08</v>
      </c>
      <c r="M30" s="367">
        <v>0.08</v>
      </c>
      <c r="N30" s="367">
        <v>0.08</v>
      </c>
      <c r="O30" s="367">
        <v>0.08</v>
      </c>
      <c r="P30" s="367">
        <v>0.08</v>
      </c>
      <c r="Q30" s="367">
        <v>0.08</v>
      </c>
      <c r="R30" s="367">
        <v>0.08</v>
      </c>
      <c r="S30" s="367">
        <v>0.07</v>
      </c>
      <c r="T30" s="367">
        <v>0.07</v>
      </c>
      <c r="U30" s="367">
        <v>0.07</v>
      </c>
      <c r="V30" s="367">
        <v>0.07</v>
      </c>
      <c r="W30" s="367">
        <v>0.07</v>
      </c>
      <c r="X30" s="367">
        <v>0.07</v>
      </c>
      <c r="Y30" s="367">
        <v>0.07</v>
      </c>
      <c r="Z30" s="367">
        <v>0.07</v>
      </c>
      <c r="AA30" s="367">
        <v>0.07</v>
      </c>
      <c r="AB30" s="367">
        <v>0.07</v>
      </c>
      <c r="AC30" s="21">
        <v>0</v>
      </c>
      <c r="AH30" s="497"/>
      <c r="AI30" s="497"/>
      <c r="AJ30" s="497"/>
      <c r="AK30" s="497"/>
    </row>
    <row r="31" spans="1:37" ht="12">
      <c r="A31" s="360"/>
      <c r="B31" s="24">
        <v>10</v>
      </c>
      <c r="C31" s="366">
        <v>0.06</v>
      </c>
      <c r="D31" s="106">
        <v>0.06</v>
      </c>
      <c r="E31" s="106">
        <v>0.06</v>
      </c>
      <c r="F31" s="106">
        <v>0.06</v>
      </c>
      <c r="G31" s="106">
        <v>0.06</v>
      </c>
      <c r="H31" s="106">
        <v>0.06</v>
      </c>
      <c r="I31" s="367">
        <v>0.06</v>
      </c>
      <c r="J31" s="367">
        <v>0.06</v>
      </c>
      <c r="K31" s="367">
        <v>0.06</v>
      </c>
      <c r="L31" s="367">
        <v>0.06</v>
      </c>
      <c r="M31" s="367">
        <v>0.06</v>
      </c>
      <c r="N31" s="367">
        <v>0.06</v>
      </c>
      <c r="O31" s="367">
        <v>0.06</v>
      </c>
      <c r="P31" s="367">
        <v>0.06</v>
      </c>
      <c r="Q31" s="367">
        <v>0.06</v>
      </c>
      <c r="R31" s="367">
        <v>0.06</v>
      </c>
      <c r="S31" s="367">
        <v>0.06</v>
      </c>
      <c r="T31" s="367">
        <v>0.06</v>
      </c>
      <c r="U31" s="367">
        <v>0.06</v>
      </c>
      <c r="V31" s="367">
        <v>0.06</v>
      </c>
      <c r="W31" s="367">
        <v>0.06</v>
      </c>
      <c r="X31" s="367">
        <v>0.06</v>
      </c>
      <c r="Y31" s="367">
        <v>0.06</v>
      </c>
      <c r="Z31" s="367">
        <v>0.06</v>
      </c>
      <c r="AA31" s="367">
        <v>0.06</v>
      </c>
      <c r="AB31" s="367">
        <v>0.06</v>
      </c>
      <c r="AC31" s="21">
        <v>0</v>
      </c>
      <c r="AH31" s="497"/>
      <c r="AI31" s="497"/>
      <c r="AJ31" s="497"/>
      <c r="AK31" s="497"/>
    </row>
    <row r="32" spans="1:37" ht="12">
      <c r="A32" s="360"/>
      <c r="B32" s="24">
        <v>11</v>
      </c>
      <c r="C32" s="366">
        <v>0.03</v>
      </c>
      <c r="D32" s="106">
        <v>0.03</v>
      </c>
      <c r="E32" s="106">
        <v>0.03</v>
      </c>
      <c r="F32" s="106">
        <v>0.03</v>
      </c>
      <c r="G32" s="106">
        <v>0.03</v>
      </c>
      <c r="H32" s="106">
        <v>0.03</v>
      </c>
      <c r="I32" s="367">
        <v>0.03</v>
      </c>
      <c r="J32" s="367">
        <v>0.03</v>
      </c>
      <c r="K32" s="367">
        <v>0.03</v>
      </c>
      <c r="L32" s="367">
        <v>0.03</v>
      </c>
      <c r="M32" s="367">
        <v>0.03</v>
      </c>
      <c r="N32" s="367">
        <v>0.03</v>
      </c>
      <c r="O32" s="367">
        <v>0.03</v>
      </c>
      <c r="P32" s="367">
        <v>0.03</v>
      </c>
      <c r="Q32" s="367">
        <v>0.03</v>
      </c>
      <c r="R32" s="367">
        <v>0.03</v>
      </c>
      <c r="S32" s="367">
        <v>0.03</v>
      </c>
      <c r="T32" s="367">
        <v>0.03</v>
      </c>
      <c r="U32" s="367">
        <v>0.03</v>
      </c>
      <c r="V32" s="367">
        <v>0.03</v>
      </c>
      <c r="W32" s="367">
        <v>0.03</v>
      </c>
      <c r="X32" s="367">
        <v>0.03</v>
      </c>
      <c r="Y32" s="367">
        <v>0.03</v>
      </c>
      <c r="Z32" s="367">
        <v>0.03</v>
      </c>
      <c r="AA32" s="367">
        <v>0.03</v>
      </c>
      <c r="AB32" s="367">
        <v>0.03</v>
      </c>
      <c r="AC32" s="21">
        <v>0</v>
      </c>
      <c r="AH32" s="497"/>
      <c r="AI32" s="497"/>
      <c r="AJ32" s="497"/>
      <c r="AK32" s="497"/>
    </row>
    <row r="33" spans="1:37" ht="12">
      <c r="A33" s="374"/>
      <c r="B33" s="24">
        <v>12</v>
      </c>
      <c r="C33" s="366">
        <v>0.03</v>
      </c>
      <c r="D33" s="106">
        <v>0.03</v>
      </c>
      <c r="E33" s="106">
        <v>0.03</v>
      </c>
      <c r="F33" s="106">
        <v>0.03</v>
      </c>
      <c r="G33" s="106">
        <v>0.03</v>
      </c>
      <c r="H33" s="106">
        <v>0.03</v>
      </c>
      <c r="I33" s="367">
        <v>0.03</v>
      </c>
      <c r="J33" s="367">
        <v>0.03</v>
      </c>
      <c r="K33" s="367">
        <v>0.03</v>
      </c>
      <c r="L33" s="367">
        <v>0.03</v>
      </c>
      <c r="M33" s="367">
        <v>0.03</v>
      </c>
      <c r="N33" s="367">
        <v>0.03</v>
      </c>
      <c r="O33" s="367">
        <v>0.03</v>
      </c>
      <c r="P33" s="367">
        <v>0.03</v>
      </c>
      <c r="Q33" s="367">
        <v>0.03</v>
      </c>
      <c r="R33" s="367">
        <v>0.03</v>
      </c>
      <c r="S33" s="367">
        <v>0.03</v>
      </c>
      <c r="T33" s="367">
        <v>0.03</v>
      </c>
      <c r="U33" s="367">
        <v>0.03</v>
      </c>
      <c r="V33" s="367">
        <v>0.03</v>
      </c>
      <c r="W33" s="367">
        <v>0.03</v>
      </c>
      <c r="X33" s="367">
        <v>0.03</v>
      </c>
      <c r="Y33" s="367">
        <v>0.03</v>
      </c>
      <c r="Z33" s="367">
        <v>0.03</v>
      </c>
      <c r="AA33" s="367">
        <v>0.03</v>
      </c>
      <c r="AB33" s="367">
        <v>0.03</v>
      </c>
      <c r="AC33" s="21">
        <v>0</v>
      </c>
      <c r="AH33" s="497"/>
      <c r="AI33" s="497"/>
      <c r="AJ33" s="497"/>
      <c r="AK33" s="497"/>
    </row>
    <row r="34" spans="1:37" ht="12">
      <c r="A34" s="360"/>
      <c r="B34" s="24">
        <v>13</v>
      </c>
      <c r="C34" s="366">
        <v>0.03</v>
      </c>
      <c r="D34" s="106">
        <v>0.03</v>
      </c>
      <c r="E34" s="106">
        <v>0.03</v>
      </c>
      <c r="F34" s="106">
        <v>0.03</v>
      </c>
      <c r="G34" s="106">
        <v>0.03</v>
      </c>
      <c r="H34" s="106">
        <v>0.03</v>
      </c>
      <c r="I34" s="367">
        <v>0.03</v>
      </c>
      <c r="J34" s="367">
        <v>0.03</v>
      </c>
      <c r="K34" s="367">
        <v>0.03</v>
      </c>
      <c r="L34" s="367">
        <v>0.03</v>
      </c>
      <c r="M34" s="367">
        <v>0.03</v>
      </c>
      <c r="N34" s="367">
        <v>0.03</v>
      </c>
      <c r="O34" s="367">
        <v>0.03</v>
      </c>
      <c r="P34" s="367">
        <v>0.03</v>
      </c>
      <c r="Q34" s="367">
        <v>0.03</v>
      </c>
      <c r="R34" s="367">
        <v>0.03</v>
      </c>
      <c r="S34" s="367">
        <v>0.03</v>
      </c>
      <c r="T34" s="367">
        <v>0.03</v>
      </c>
      <c r="U34" s="367">
        <v>0.03</v>
      </c>
      <c r="V34" s="367">
        <v>0.03</v>
      </c>
      <c r="W34" s="367">
        <v>0.03</v>
      </c>
      <c r="X34" s="367">
        <v>0.03</v>
      </c>
      <c r="Y34" s="367">
        <v>0.03</v>
      </c>
      <c r="Z34" s="367">
        <v>0.03</v>
      </c>
      <c r="AA34" s="367">
        <v>0.03</v>
      </c>
      <c r="AB34" s="367">
        <v>0.03</v>
      </c>
      <c r="AC34" s="21">
        <v>0</v>
      </c>
      <c r="AH34" s="497"/>
      <c r="AI34" s="497"/>
      <c r="AJ34" s="497"/>
      <c r="AK34" s="497"/>
    </row>
    <row r="35" spans="1:37" ht="12">
      <c r="A35" s="360"/>
      <c r="B35" s="24">
        <v>14</v>
      </c>
      <c r="C35" s="366">
        <v>0.02</v>
      </c>
      <c r="D35" s="106">
        <v>0.02</v>
      </c>
      <c r="E35" s="106">
        <v>0.02</v>
      </c>
      <c r="F35" s="106">
        <v>0.02</v>
      </c>
      <c r="G35" s="106">
        <v>0.02</v>
      </c>
      <c r="H35" s="106">
        <v>0.02</v>
      </c>
      <c r="I35" s="367">
        <v>0.02</v>
      </c>
      <c r="J35" s="367">
        <v>0.03</v>
      </c>
      <c r="K35" s="367">
        <v>0.03</v>
      </c>
      <c r="L35" s="367">
        <v>0.03</v>
      </c>
      <c r="M35" s="367">
        <v>0.03</v>
      </c>
      <c r="N35" s="367">
        <v>0.03</v>
      </c>
      <c r="O35" s="367">
        <v>0.03</v>
      </c>
      <c r="P35" s="367">
        <v>0.03</v>
      </c>
      <c r="Q35" s="367">
        <v>0.02</v>
      </c>
      <c r="R35" s="367">
        <v>0.02</v>
      </c>
      <c r="S35" s="367">
        <v>0.03</v>
      </c>
      <c r="T35" s="367">
        <v>0.03</v>
      </c>
      <c r="U35" s="367">
        <v>0.03</v>
      </c>
      <c r="V35" s="367">
        <v>0.02</v>
      </c>
      <c r="W35" s="367">
        <v>0.02</v>
      </c>
      <c r="X35" s="367">
        <v>0.02</v>
      </c>
      <c r="Y35" s="367">
        <v>0.02</v>
      </c>
      <c r="Z35" s="367">
        <v>0.03</v>
      </c>
      <c r="AA35" s="367">
        <v>0.03</v>
      </c>
      <c r="AB35" s="367">
        <v>0.03</v>
      </c>
      <c r="AC35" s="21">
        <v>0</v>
      </c>
      <c r="AH35" s="497"/>
      <c r="AI35" s="497"/>
      <c r="AJ35" s="497"/>
      <c r="AK35" s="497"/>
    </row>
    <row r="36" spans="1:37" ht="12">
      <c r="A36" s="375"/>
      <c r="B36" s="122">
        <v>15</v>
      </c>
      <c r="C36" s="366">
        <v>0.02</v>
      </c>
      <c r="D36" s="106">
        <v>0.02</v>
      </c>
      <c r="E36" s="106">
        <v>0.02</v>
      </c>
      <c r="F36" s="106">
        <v>0.02</v>
      </c>
      <c r="G36" s="106">
        <v>0.02</v>
      </c>
      <c r="H36" s="106">
        <v>0.02</v>
      </c>
      <c r="I36" s="367">
        <v>0.02</v>
      </c>
      <c r="J36" s="367">
        <v>0.02</v>
      </c>
      <c r="K36" s="367">
        <v>0.02</v>
      </c>
      <c r="L36" s="367">
        <v>0.02</v>
      </c>
      <c r="M36" s="367">
        <v>0.02</v>
      </c>
      <c r="N36" s="367">
        <v>0.02</v>
      </c>
      <c r="O36" s="367">
        <v>0.02</v>
      </c>
      <c r="P36" s="367">
        <v>0.02</v>
      </c>
      <c r="Q36" s="367">
        <v>0.02</v>
      </c>
      <c r="R36" s="367">
        <v>0.02</v>
      </c>
      <c r="S36" s="367">
        <v>0.02</v>
      </c>
      <c r="T36" s="367">
        <v>0.02</v>
      </c>
      <c r="U36" s="367">
        <v>0.02</v>
      </c>
      <c r="V36" s="367">
        <v>0.02</v>
      </c>
      <c r="W36" s="367">
        <v>0.02</v>
      </c>
      <c r="X36" s="367">
        <v>0.02</v>
      </c>
      <c r="Y36" s="367">
        <v>0.02</v>
      </c>
      <c r="Z36" s="367">
        <v>0.02</v>
      </c>
      <c r="AA36" s="367">
        <v>0.02</v>
      </c>
      <c r="AB36" s="367">
        <v>0.02</v>
      </c>
      <c r="AC36" s="21">
        <v>0</v>
      </c>
      <c r="AH36" s="497"/>
      <c r="AI36" s="497"/>
      <c r="AJ36" s="497"/>
      <c r="AK36" s="497"/>
    </row>
    <row r="37" spans="2:37" ht="12">
      <c r="B37" s="122">
        <v>16</v>
      </c>
      <c r="C37" s="376">
        <v>0.02</v>
      </c>
      <c r="D37" s="150">
        <v>0.02</v>
      </c>
      <c r="E37" s="150">
        <v>0.02</v>
      </c>
      <c r="F37" s="150">
        <v>0.02</v>
      </c>
      <c r="G37" s="150">
        <v>0.02</v>
      </c>
      <c r="H37" s="150">
        <v>0.02</v>
      </c>
      <c r="I37" s="377">
        <v>0.02</v>
      </c>
      <c r="J37" s="377">
        <v>0.02</v>
      </c>
      <c r="K37" s="377">
        <v>0.02</v>
      </c>
      <c r="L37" s="377">
        <v>0.02</v>
      </c>
      <c r="M37" s="377">
        <v>0.02</v>
      </c>
      <c r="N37" s="377">
        <v>0.02</v>
      </c>
      <c r="O37" s="377">
        <v>0.02</v>
      </c>
      <c r="P37" s="377">
        <v>0.02</v>
      </c>
      <c r="Q37" s="377">
        <v>0.02</v>
      </c>
      <c r="R37" s="377">
        <v>0.02</v>
      </c>
      <c r="S37" s="377">
        <v>0.02</v>
      </c>
      <c r="T37" s="377">
        <v>0.02</v>
      </c>
      <c r="U37" s="377">
        <v>0.02</v>
      </c>
      <c r="V37" s="377">
        <v>0.02</v>
      </c>
      <c r="W37" s="377">
        <v>0.02</v>
      </c>
      <c r="X37" s="377">
        <v>0.02</v>
      </c>
      <c r="Y37" s="377">
        <v>0.02</v>
      </c>
      <c r="Z37" s="377">
        <v>0.02</v>
      </c>
      <c r="AA37" s="377">
        <v>0.02</v>
      </c>
      <c r="AB37" s="377">
        <v>0.02</v>
      </c>
      <c r="AC37" s="21">
        <v>0</v>
      </c>
      <c r="AH37" s="497"/>
      <c r="AI37" s="497"/>
      <c r="AJ37" s="497"/>
      <c r="AK37" s="497"/>
    </row>
    <row r="38" spans="1:37" ht="12">
      <c r="A38" s="126"/>
      <c r="B38" s="122">
        <v>17</v>
      </c>
      <c r="C38" s="378">
        <v>0.1</v>
      </c>
      <c r="D38" s="330">
        <v>0.1</v>
      </c>
      <c r="E38" s="330">
        <v>0.1</v>
      </c>
      <c r="F38" s="330">
        <v>0.1</v>
      </c>
      <c r="G38" s="330">
        <v>0.1</v>
      </c>
      <c r="H38" s="330">
        <v>0.1</v>
      </c>
      <c r="I38" s="379">
        <v>0.1</v>
      </c>
      <c r="J38" s="379">
        <v>0.1</v>
      </c>
      <c r="K38" s="379">
        <v>0.1</v>
      </c>
      <c r="L38" s="379">
        <v>0.1</v>
      </c>
      <c r="M38" s="379">
        <v>0.1</v>
      </c>
      <c r="N38" s="379">
        <v>0.1</v>
      </c>
      <c r="O38" s="379">
        <v>0.1</v>
      </c>
      <c r="P38" s="379">
        <v>0.1</v>
      </c>
      <c r="Q38" s="379">
        <v>0.1</v>
      </c>
      <c r="R38" s="379">
        <v>0.1</v>
      </c>
      <c r="S38" s="379">
        <v>0.1</v>
      </c>
      <c r="T38" s="379">
        <v>0.1</v>
      </c>
      <c r="U38" s="379">
        <v>0.1</v>
      </c>
      <c r="V38" s="379">
        <v>0.1</v>
      </c>
      <c r="W38" s="379">
        <v>0.1</v>
      </c>
      <c r="X38" s="379">
        <v>0.1</v>
      </c>
      <c r="Y38" s="379">
        <v>0.1</v>
      </c>
      <c r="Z38" s="379">
        <v>0.1</v>
      </c>
      <c r="AA38" s="379">
        <v>0.1</v>
      </c>
      <c r="AB38" s="379">
        <v>0.1</v>
      </c>
      <c r="AC38" s="21">
        <v>0</v>
      </c>
      <c r="AH38" s="497"/>
      <c r="AI38" s="497"/>
      <c r="AJ38" s="497"/>
      <c r="AK38" s="497"/>
    </row>
    <row r="39" spans="1:37" ht="15">
      <c r="A39" s="365" t="s">
        <v>139</v>
      </c>
      <c r="B39" s="32">
        <v>0</v>
      </c>
      <c r="C39" s="380" t="s">
        <v>324</v>
      </c>
      <c r="D39" s="333" t="s">
        <v>325</v>
      </c>
      <c r="E39" s="333" t="s">
        <v>120</v>
      </c>
      <c r="F39" s="333" t="s">
        <v>346</v>
      </c>
      <c r="G39" s="333" t="s">
        <v>347</v>
      </c>
      <c r="H39" s="333" t="s">
        <v>354</v>
      </c>
      <c r="I39" s="381" t="s">
        <v>355</v>
      </c>
      <c r="J39" s="382" t="s">
        <v>326</v>
      </c>
      <c r="K39" s="382" t="s">
        <v>327</v>
      </c>
      <c r="L39" s="382" t="s">
        <v>328</v>
      </c>
      <c r="M39" s="382" t="s">
        <v>356</v>
      </c>
      <c r="N39" s="382" t="s">
        <v>357</v>
      </c>
      <c r="O39" s="382" t="s">
        <v>358</v>
      </c>
      <c r="P39" s="382" t="s">
        <v>359</v>
      </c>
      <c r="Q39" s="382" t="s">
        <v>360</v>
      </c>
      <c r="R39" s="382" t="s">
        <v>361</v>
      </c>
      <c r="S39" s="382" t="s">
        <v>329</v>
      </c>
      <c r="T39" s="382" t="s">
        <v>362</v>
      </c>
      <c r="U39" s="382" t="s">
        <v>363</v>
      </c>
      <c r="V39" s="382" t="s">
        <v>364</v>
      </c>
      <c r="W39" s="382" t="s">
        <v>365</v>
      </c>
      <c r="X39" s="382" t="s">
        <v>366</v>
      </c>
      <c r="Y39" s="382" t="s">
        <v>330</v>
      </c>
      <c r="Z39" s="382" t="s">
        <v>367</v>
      </c>
      <c r="AA39" s="382" t="s">
        <v>368</v>
      </c>
      <c r="AB39" s="382" t="s">
        <v>369</v>
      </c>
      <c r="AC39" s="127" t="s">
        <v>283</v>
      </c>
      <c r="AH39" s="497"/>
      <c r="AI39" s="497"/>
      <c r="AJ39" s="497"/>
      <c r="AK39" s="497"/>
    </row>
    <row r="40" spans="1:37" ht="16.5">
      <c r="A40" s="383" t="s">
        <v>332</v>
      </c>
      <c r="B40" s="24">
        <v>1</v>
      </c>
      <c r="C40" s="366">
        <v>0.09</v>
      </c>
      <c r="D40" s="106">
        <v>0.09</v>
      </c>
      <c r="E40" s="106">
        <v>0.09</v>
      </c>
      <c r="F40" s="106">
        <v>0.09</v>
      </c>
      <c r="G40" s="106">
        <v>0.1</v>
      </c>
      <c r="H40" s="106">
        <v>0.07</v>
      </c>
      <c r="I40" s="106">
        <v>0.07</v>
      </c>
      <c r="J40" s="21">
        <v>0.11</v>
      </c>
      <c r="K40" s="21">
        <v>0.11</v>
      </c>
      <c r="L40" s="21">
        <v>0.11</v>
      </c>
      <c r="M40" s="21">
        <v>0.11</v>
      </c>
      <c r="N40" s="21">
        <v>0.11</v>
      </c>
      <c r="O40" s="21">
        <v>0.11</v>
      </c>
      <c r="P40" s="21">
        <v>0.07</v>
      </c>
      <c r="Q40" s="21">
        <v>0.07</v>
      </c>
      <c r="R40" s="21">
        <v>0.07</v>
      </c>
      <c r="S40" s="32">
        <v>0.11</v>
      </c>
      <c r="T40" s="21">
        <v>0.08</v>
      </c>
      <c r="U40" s="21">
        <v>0.08</v>
      </c>
      <c r="V40" s="21">
        <v>0.07</v>
      </c>
      <c r="W40" s="21">
        <v>0.07</v>
      </c>
      <c r="X40" s="21">
        <v>0.07</v>
      </c>
      <c r="Y40" s="21">
        <v>0.07</v>
      </c>
      <c r="Z40" s="32">
        <v>0.1</v>
      </c>
      <c r="AA40" s="32">
        <v>0.1</v>
      </c>
      <c r="AB40" s="32">
        <v>0.1</v>
      </c>
      <c r="AC40" s="21">
        <v>0</v>
      </c>
      <c r="AH40" s="497"/>
      <c r="AI40" s="497"/>
      <c r="AJ40" s="497"/>
      <c r="AK40" s="497"/>
    </row>
    <row r="41" spans="1:37" ht="16.5">
      <c r="A41" s="383" t="s">
        <v>333</v>
      </c>
      <c r="B41" s="24">
        <v>2</v>
      </c>
      <c r="C41" s="366">
        <v>0.01</v>
      </c>
      <c r="D41" s="106">
        <v>0.01</v>
      </c>
      <c r="E41" s="106">
        <v>0.01</v>
      </c>
      <c r="F41" s="106">
        <v>0.01</v>
      </c>
      <c r="G41" s="106">
        <v>0.01</v>
      </c>
      <c r="H41" s="106">
        <v>0.01</v>
      </c>
      <c r="I41" s="106">
        <v>0.01</v>
      </c>
      <c r="J41" s="21">
        <v>0.01</v>
      </c>
      <c r="K41" s="21">
        <v>0.01</v>
      </c>
      <c r="L41" s="21">
        <v>0.01</v>
      </c>
      <c r="M41" s="21">
        <v>0.01</v>
      </c>
      <c r="N41" s="21">
        <v>0.01</v>
      </c>
      <c r="O41" s="21">
        <v>0.01</v>
      </c>
      <c r="P41" s="21">
        <v>0.01</v>
      </c>
      <c r="Q41" s="21">
        <v>0.01</v>
      </c>
      <c r="R41" s="21">
        <v>0.01</v>
      </c>
      <c r="S41" s="32">
        <v>0.01</v>
      </c>
      <c r="T41" s="21">
        <v>0.01</v>
      </c>
      <c r="U41" s="21">
        <v>0.01</v>
      </c>
      <c r="V41" s="21">
        <v>0.01</v>
      </c>
      <c r="W41" s="21">
        <v>0.01</v>
      </c>
      <c r="X41" s="21">
        <v>0.01</v>
      </c>
      <c r="Y41" s="21">
        <v>0.01</v>
      </c>
      <c r="Z41" s="32">
        <v>0.01</v>
      </c>
      <c r="AA41" s="32">
        <v>0.01</v>
      </c>
      <c r="AB41" s="32">
        <v>0.01</v>
      </c>
      <c r="AC41" s="21">
        <v>0</v>
      </c>
      <c r="AH41" s="497"/>
      <c r="AI41" s="497"/>
      <c r="AJ41" s="497"/>
      <c r="AK41" s="497"/>
    </row>
    <row r="42" spans="1:37" ht="16.5">
      <c r="A42" s="383" t="s">
        <v>335</v>
      </c>
      <c r="B42" s="24">
        <v>3</v>
      </c>
      <c r="C42" s="376">
        <v>0.23</v>
      </c>
      <c r="D42" s="150">
        <v>0.23</v>
      </c>
      <c r="E42" s="150">
        <v>0.23</v>
      </c>
      <c r="F42" s="150">
        <v>0.23</v>
      </c>
      <c r="G42" s="150">
        <v>0.27</v>
      </c>
      <c r="H42" s="150">
        <v>0.16</v>
      </c>
      <c r="I42" s="150">
        <v>0.16</v>
      </c>
      <c r="J42" s="21">
        <v>0.26</v>
      </c>
      <c r="K42" s="21">
        <v>0.26</v>
      </c>
      <c r="L42" s="21">
        <v>0.26</v>
      </c>
      <c r="M42" s="21">
        <v>0.16</v>
      </c>
      <c r="N42" s="21">
        <v>0.16</v>
      </c>
      <c r="O42" s="21">
        <v>0.16</v>
      </c>
      <c r="P42" s="21">
        <v>0.2</v>
      </c>
      <c r="Q42" s="21">
        <v>0.2</v>
      </c>
      <c r="R42" s="21">
        <v>0.2</v>
      </c>
      <c r="S42" s="32">
        <v>0.22</v>
      </c>
      <c r="T42" s="21">
        <v>0.22</v>
      </c>
      <c r="U42" s="21">
        <v>0.22</v>
      </c>
      <c r="V42" s="384">
        <v>0.2</v>
      </c>
      <c r="W42" s="384">
        <v>0.2</v>
      </c>
      <c r="X42" s="384">
        <v>0.2</v>
      </c>
      <c r="Y42" s="21">
        <v>0.15</v>
      </c>
      <c r="Z42" s="32">
        <v>0.24</v>
      </c>
      <c r="AA42" s="32">
        <v>0.24</v>
      </c>
      <c r="AB42" s="32">
        <v>0.24</v>
      </c>
      <c r="AC42" s="21">
        <v>0</v>
      </c>
      <c r="AH42" s="497"/>
      <c r="AI42" s="497"/>
      <c r="AJ42" s="497"/>
      <c r="AK42" s="497"/>
    </row>
    <row r="43" spans="1:37" ht="16.5">
      <c r="A43" s="383" t="s">
        <v>336</v>
      </c>
      <c r="B43" s="24">
        <v>4</v>
      </c>
      <c r="C43" s="376">
        <v>0.01</v>
      </c>
      <c r="D43" s="150">
        <v>0.01</v>
      </c>
      <c r="E43" s="150">
        <v>0.01</v>
      </c>
      <c r="F43" s="150">
        <v>0.01</v>
      </c>
      <c r="G43" s="150">
        <v>0.01</v>
      </c>
      <c r="H43" s="150">
        <v>0.01</v>
      </c>
      <c r="I43" s="150">
        <v>0.01</v>
      </c>
      <c r="J43" s="21">
        <v>0.01</v>
      </c>
      <c r="K43" s="21">
        <v>0.01</v>
      </c>
      <c r="L43" s="21">
        <v>0.01</v>
      </c>
      <c r="M43" s="21">
        <v>0.02</v>
      </c>
      <c r="N43" s="21">
        <v>0.02</v>
      </c>
      <c r="O43" s="21">
        <v>0.02</v>
      </c>
      <c r="P43" s="21">
        <v>0.01</v>
      </c>
      <c r="Q43" s="21">
        <v>0.01</v>
      </c>
      <c r="R43" s="21">
        <v>0.01</v>
      </c>
      <c r="S43" s="32">
        <v>0.01</v>
      </c>
      <c r="T43" s="21">
        <v>0.01</v>
      </c>
      <c r="U43" s="21">
        <v>0.01</v>
      </c>
      <c r="V43" s="21">
        <v>0.01</v>
      </c>
      <c r="W43" s="21">
        <v>0.01</v>
      </c>
      <c r="X43" s="21">
        <v>0.01</v>
      </c>
      <c r="Y43" s="21">
        <v>0.02</v>
      </c>
      <c r="Z43" s="32">
        <v>0.01</v>
      </c>
      <c r="AA43" s="32">
        <v>0.01</v>
      </c>
      <c r="AB43" s="32">
        <v>0.01</v>
      </c>
      <c r="AC43" s="21">
        <v>0</v>
      </c>
      <c r="AH43" s="497"/>
      <c r="AI43" s="497"/>
      <c r="AJ43" s="497"/>
      <c r="AK43" s="497"/>
    </row>
    <row r="44" spans="1:37" ht="16.5">
      <c r="A44" s="383" t="s">
        <v>337</v>
      </c>
      <c r="B44" s="24">
        <v>5</v>
      </c>
      <c r="C44" s="376">
        <v>0.07</v>
      </c>
      <c r="D44" s="150">
        <v>0.07</v>
      </c>
      <c r="E44" s="150">
        <v>0.07</v>
      </c>
      <c r="F44" s="150">
        <v>0.07</v>
      </c>
      <c r="G44" s="150">
        <v>0.07</v>
      </c>
      <c r="H44" s="150">
        <v>0.04</v>
      </c>
      <c r="I44" s="150">
        <v>0.04</v>
      </c>
      <c r="J44" s="21">
        <v>0.07</v>
      </c>
      <c r="K44" s="21">
        <v>0.07</v>
      </c>
      <c r="L44" s="21">
        <v>0.07</v>
      </c>
      <c r="M44" s="21">
        <v>0.08</v>
      </c>
      <c r="N44" s="21">
        <v>0.08</v>
      </c>
      <c r="O44" s="21">
        <v>0.08</v>
      </c>
      <c r="P44" s="21">
        <v>0.06</v>
      </c>
      <c r="Q44" s="21">
        <v>0.06</v>
      </c>
      <c r="R44" s="21">
        <v>0.06</v>
      </c>
      <c r="S44" s="32">
        <v>0.04</v>
      </c>
      <c r="T44" s="21">
        <v>0.06</v>
      </c>
      <c r="U44" s="21">
        <v>0.06</v>
      </c>
      <c r="V44" s="21">
        <v>0.05</v>
      </c>
      <c r="W44" s="21">
        <v>0.05</v>
      </c>
      <c r="X44" s="21">
        <v>0.05</v>
      </c>
      <c r="Y44" s="21">
        <v>0.06</v>
      </c>
      <c r="Z44" s="32">
        <v>0.06</v>
      </c>
      <c r="AA44" s="32">
        <v>0.06</v>
      </c>
      <c r="AB44" s="32">
        <v>0.06</v>
      </c>
      <c r="AC44" s="21">
        <v>0</v>
      </c>
      <c r="AH44" s="497"/>
      <c r="AI44" s="497"/>
      <c r="AJ44" s="497"/>
      <c r="AK44" s="497"/>
    </row>
    <row r="45" spans="1:37" ht="16.5">
      <c r="A45" s="383" t="s">
        <v>338</v>
      </c>
      <c r="B45" s="24">
        <v>6</v>
      </c>
      <c r="C45" s="366">
        <v>0.05</v>
      </c>
      <c r="D45" s="106">
        <v>0.05</v>
      </c>
      <c r="E45" s="106">
        <v>0.05</v>
      </c>
      <c r="F45" s="106">
        <v>0.05</v>
      </c>
      <c r="G45" s="106">
        <v>0.06</v>
      </c>
      <c r="H45" s="106">
        <v>0.16</v>
      </c>
      <c r="I45" s="106">
        <v>0.16</v>
      </c>
      <c r="J45" s="21">
        <v>0.04</v>
      </c>
      <c r="K45" s="21">
        <v>0.04</v>
      </c>
      <c r="L45" s="21">
        <v>0.04</v>
      </c>
      <c r="M45" s="21">
        <v>0.15</v>
      </c>
      <c r="N45" s="21">
        <v>0.15</v>
      </c>
      <c r="O45" s="21">
        <v>0.15</v>
      </c>
      <c r="P45" s="21">
        <v>0.04</v>
      </c>
      <c r="Q45" s="21">
        <v>0.04</v>
      </c>
      <c r="R45" s="21">
        <v>0.04</v>
      </c>
      <c r="S45" s="32">
        <v>0.06</v>
      </c>
      <c r="T45" s="21">
        <v>0.04</v>
      </c>
      <c r="U45" s="21">
        <v>0.04</v>
      </c>
      <c r="V45" s="21">
        <v>0.04</v>
      </c>
      <c r="W45" s="21">
        <v>0.04</v>
      </c>
      <c r="X45" s="21">
        <v>0.04</v>
      </c>
      <c r="Y45" s="21">
        <v>0.1</v>
      </c>
      <c r="Z45" s="32">
        <v>0.06</v>
      </c>
      <c r="AA45" s="32">
        <v>0.06</v>
      </c>
      <c r="AB45" s="32">
        <v>0.06</v>
      </c>
      <c r="AC45" s="21">
        <v>0</v>
      </c>
      <c r="AH45" s="497"/>
      <c r="AI45" s="497"/>
      <c r="AJ45" s="497"/>
      <c r="AK45" s="497"/>
    </row>
    <row r="46" spans="1:37" ht="16.5">
      <c r="A46" s="383" t="s">
        <v>339</v>
      </c>
      <c r="B46" s="24">
        <v>7</v>
      </c>
      <c r="C46" s="366">
        <v>0.13</v>
      </c>
      <c r="D46" s="106">
        <v>0.13</v>
      </c>
      <c r="E46" s="106">
        <v>0.13</v>
      </c>
      <c r="F46" s="106">
        <v>0.13</v>
      </c>
      <c r="G46" s="106">
        <v>0.15</v>
      </c>
      <c r="H46" s="106">
        <v>0.05</v>
      </c>
      <c r="I46" s="106">
        <v>0.05</v>
      </c>
      <c r="J46" s="21">
        <v>0.1</v>
      </c>
      <c r="K46" s="21">
        <v>0.1</v>
      </c>
      <c r="L46" s="21">
        <v>0.1</v>
      </c>
      <c r="M46" s="21">
        <v>0.05</v>
      </c>
      <c r="N46" s="21">
        <v>0.05</v>
      </c>
      <c r="O46" s="21">
        <v>0.05</v>
      </c>
      <c r="P46" s="21">
        <v>0.06</v>
      </c>
      <c r="Q46" s="21">
        <v>0.06</v>
      </c>
      <c r="R46" s="21">
        <v>0.06</v>
      </c>
      <c r="S46" s="32">
        <v>0.1</v>
      </c>
      <c r="T46" s="21">
        <v>0.08</v>
      </c>
      <c r="U46" s="21">
        <v>0.08</v>
      </c>
      <c r="V46" s="21">
        <v>0.07</v>
      </c>
      <c r="W46" s="21">
        <v>0.07</v>
      </c>
      <c r="X46" s="21">
        <v>0.07</v>
      </c>
      <c r="Y46" s="21">
        <v>0.05</v>
      </c>
      <c r="Z46" s="32">
        <v>0.12</v>
      </c>
      <c r="AA46" s="32">
        <v>0.12</v>
      </c>
      <c r="AB46" s="32">
        <v>0.12</v>
      </c>
      <c r="AC46" s="21">
        <v>0</v>
      </c>
      <c r="AH46" s="497"/>
      <c r="AI46" s="497"/>
      <c r="AJ46" s="497"/>
      <c r="AK46" s="497"/>
    </row>
    <row r="47" spans="1:37" ht="16.5">
      <c r="A47" s="383" t="s">
        <v>140</v>
      </c>
      <c r="B47" s="24">
        <v>8</v>
      </c>
      <c r="C47" s="366">
        <v>0.04</v>
      </c>
      <c r="D47" s="106">
        <v>0.04</v>
      </c>
      <c r="E47" s="106">
        <v>0.04</v>
      </c>
      <c r="F47" s="106">
        <v>0.04</v>
      </c>
      <c r="G47" s="106">
        <v>0.04</v>
      </c>
      <c r="H47" s="106">
        <v>0.04</v>
      </c>
      <c r="I47" s="106">
        <v>0.04</v>
      </c>
      <c r="J47" s="21">
        <v>0.03</v>
      </c>
      <c r="K47" s="21">
        <v>0.03</v>
      </c>
      <c r="L47" s="21">
        <v>0.03</v>
      </c>
      <c r="M47" s="21">
        <v>0.05</v>
      </c>
      <c r="N47" s="21">
        <v>0.05</v>
      </c>
      <c r="O47" s="21">
        <v>0.05</v>
      </c>
      <c r="P47" s="21">
        <v>0.03</v>
      </c>
      <c r="Q47" s="21">
        <v>0.03</v>
      </c>
      <c r="R47" s="21">
        <v>0.03</v>
      </c>
      <c r="S47" s="32">
        <v>0.03</v>
      </c>
      <c r="T47" s="21">
        <v>0.03</v>
      </c>
      <c r="U47" s="21">
        <v>0.03</v>
      </c>
      <c r="V47" s="21">
        <v>0.03</v>
      </c>
      <c r="W47" s="21">
        <v>0.03</v>
      </c>
      <c r="X47" s="21">
        <v>0.03</v>
      </c>
      <c r="Y47" s="21">
        <v>0.06</v>
      </c>
      <c r="Z47" s="32">
        <v>0.03</v>
      </c>
      <c r="AA47" s="32">
        <v>0.03</v>
      </c>
      <c r="AB47" s="32">
        <v>0.03</v>
      </c>
      <c r="AC47" s="21">
        <v>0</v>
      </c>
      <c r="AH47" s="497"/>
      <c r="AI47" s="497"/>
      <c r="AJ47" s="497"/>
      <c r="AK47" s="497"/>
    </row>
    <row r="48" spans="1:37" ht="16.5">
      <c r="A48" s="383" t="s">
        <v>340</v>
      </c>
      <c r="B48" s="24">
        <v>9</v>
      </c>
      <c r="C48" s="366">
        <v>0.02</v>
      </c>
      <c r="D48" s="106">
        <v>0.02</v>
      </c>
      <c r="E48" s="106">
        <v>0.02</v>
      </c>
      <c r="F48" s="106">
        <v>0.02</v>
      </c>
      <c r="G48" s="106">
        <v>0.02</v>
      </c>
      <c r="H48" s="106">
        <v>0.01</v>
      </c>
      <c r="I48" s="106">
        <v>0.01</v>
      </c>
      <c r="J48" s="21">
        <v>0.02</v>
      </c>
      <c r="K48" s="21">
        <v>0.02</v>
      </c>
      <c r="L48" s="21">
        <v>0.02</v>
      </c>
      <c r="M48" s="21">
        <v>0.02</v>
      </c>
      <c r="N48" s="21">
        <v>0.02</v>
      </c>
      <c r="O48" s="21">
        <v>0.02</v>
      </c>
      <c r="P48" s="21">
        <v>0.02</v>
      </c>
      <c r="Q48" s="21">
        <v>0.02</v>
      </c>
      <c r="R48" s="21">
        <v>0.02</v>
      </c>
      <c r="S48" s="32">
        <v>0.02</v>
      </c>
      <c r="T48" s="21">
        <v>0.02</v>
      </c>
      <c r="U48" s="21">
        <v>0.02</v>
      </c>
      <c r="V48" s="21">
        <v>0.02</v>
      </c>
      <c r="W48" s="21">
        <v>0.02</v>
      </c>
      <c r="X48" s="21">
        <v>0.02</v>
      </c>
      <c r="Y48" s="21">
        <v>0.03</v>
      </c>
      <c r="Z48" s="32">
        <v>0.02</v>
      </c>
      <c r="AA48" s="32">
        <v>0.02</v>
      </c>
      <c r="AB48" s="32">
        <v>0.02</v>
      </c>
      <c r="AC48" s="21">
        <v>0</v>
      </c>
      <c r="AH48" s="497"/>
      <c r="AI48" s="497"/>
      <c r="AJ48" s="497"/>
      <c r="AK48" s="497"/>
    </row>
    <row r="49" spans="1:37" ht="16.5">
      <c r="A49" s="383" t="s">
        <v>348</v>
      </c>
      <c r="B49" s="24">
        <v>10</v>
      </c>
      <c r="C49" s="366">
        <v>0.32</v>
      </c>
      <c r="D49" s="106">
        <v>0.32</v>
      </c>
      <c r="E49" s="106">
        <v>0.32</v>
      </c>
      <c r="F49" s="106">
        <v>0.32</v>
      </c>
      <c r="G49" s="106">
        <v>0.24</v>
      </c>
      <c r="H49" s="106">
        <v>0.42</v>
      </c>
      <c r="I49" s="106">
        <v>0.42</v>
      </c>
      <c r="J49" s="21">
        <v>0.32</v>
      </c>
      <c r="K49" s="21">
        <v>0.32</v>
      </c>
      <c r="L49" s="21">
        <v>0.32</v>
      </c>
      <c r="M49" s="21">
        <v>0.32</v>
      </c>
      <c r="N49" s="21">
        <v>0.32</v>
      </c>
      <c r="O49" s="21">
        <v>0.32</v>
      </c>
      <c r="P49" s="21">
        <v>0.45</v>
      </c>
      <c r="Q49" s="21">
        <v>0.45</v>
      </c>
      <c r="R49" s="21">
        <v>0.45</v>
      </c>
      <c r="S49" s="32">
        <v>0.38</v>
      </c>
      <c r="T49" s="21">
        <v>0.42</v>
      </c>
      <c r="U49" s="21">
        <v>0.42</v>
      </c>
      <c r="V49" s="21">
        <v>0.45</v>
      </c>
      <c r="W49" s="21">
        <v>0.45</v>
      </c>
      <c r="X49" s="21">
        <v>0.45</v>
      </c>
      <c r="Y49" s="21">
        <v>0.42</v>
      </c>
      <c r="Z49" s="32">
        <v>0.32</v>
      </c>
      <c r="AA49" s="32">
        <v>0.32</v>
      </c>
      <c r="AB49" s="32">
        <v>0.32</v>
      </c>
      <c r="AH49" s="497"/>
      <c r="AI49" s="497"/>
      <c r="AJ49" s="497"/>
      <c r="AK49" s="497"/>
    </row>
    <row r="50" spans="1:37" ht="16.5">
      <c r="A50" s="385" t="s">
        <v>141</v>
      </c>
      <c r="B50" s="386">
        <v>11</v>
      </c>
      <c r="C50" s="369">
        <v>0.03</v>
      </c>
      <c r="D50" s="313">
        <v>0.03</v>
      </c>
      <c r="E50" s="313">
        <v>0.03</v>
      </c>
      <c r="F50" s="313">
        <v>0.03</v>
      </c>
      <c r="G50" s="313">
        <v>0.03</v>
      </c>
      <c r="H50" s="313">
        <v>0.03</v>
      </c>
      <c r="I50" s="313">
        <v>0.03</v>
      </c>
      <c r="J50" s="21">
        <v>0.03</v>
      </c>
      <c r="K50" s="21">
        <v>0.03</v>
      </c>
      <c r="L50" s="21">
        <v>0.03</v>
      </c>
      <c r="M50" s="21">
        <v>0.03</v>
      </c>
      <c r="N50" s="21">
        <v>0.03</v>
      </c>
      <c r="O50" s="21">
        <v>0.03</v>
      </c>
      <c r="P50" s="21">
        <v>0.05</v>
      </c>
      <c r="Q50" s="21">
        <v>0.05</v>
      </c>
      <c r="R50" s="21">
        <v>0.05</v>
      </c>
      <c r="S50" s="21">
        <v>0.02</v>
      </c>
      <c r="T50" s="21">
        <v>0.03</v>
      </c>
      <c r="U50" s="21">
        <v>0.03</v>
      </c>
      <c r="V50" s="21">
        <v>0.05</v>
      </c>
      <c r="W50" s="21">
        <v>0.05</v>
      </c>
      <c r="X50" s="21">
        <v>0.05</v>
      </c>
      <c r="Y50" s="21">
        <v>0.03</v>
      </c>
      <c r="Z50" s="21">
        <v>0.03</v>
      </c>
      <c r="AA50" s="21">
        <v>0.03</v>
      </c>
      <c r="AB50" s="21">
        <v>0.03</v>
      </c>
      <c r="AC50" s="21">
        <f>SUM(AC40:AC49)</f>
        <v>0</v>
      </c>
      <c r="AD50" s="330"/>
      <c r="AE50" s="330"/>
      <c r="AF50" s="330"/>
      <c r="AG50" s="330"/>
      <c r="AH50" s="497"/>
      <c r="AI50" s="497"/>
      <c r="AJ50" s="497"/>
      <c r="AK50" s="497"/>
    </row>
    <row r="51" spans="1:37" ht="12">
      <c r="A51" s="126" t="s">
        <v>380</v>
      </c>
      <c r="AH51" s="497"/>
      <c r="AI51" s="497"/>
      <c r="AJ51" s="497"/>
      <c r="AK51" s="497"/>
    </row>
    <row r="52" spans="1:37" ht="12">
      <c r="A52" s="128" t="s">
        <v>244</v>
      </c>
      <c r="B52" s="129" t="s">
        <v>343</v>
      </c>
      <c r="AH52" s="497"/>
      <c r="AI52" s="497"/>
      <c r="AJ52" s="497"/>
      <c r="AK52" s="497"/>
    </row>
    <row r="53" spans="1:37" ht="12">
      <c r="A53" s="32">
        <v>0</v>
      </c>
      <c r="B53" s="129">
        <v>3.0661</v>
      </c>
      <c r="C53" s="130"/>
      <c r="E53" s="128" t="s">
        <v>316</v>
      </c>
      <c r="F53" s="130" t="s">
        <v>341</v>
      </c>
      <c r="G53" s="130" t="s">
        <v>342</v>
      </c>
      <c r="H53" s="129" t="s">
        <v>343</v>
      </c>
      <c r="AH53" s="497"/>
      <c r="AI53" s="497"/>
      <c r="AJ53" s="497"/>
      <c r="AK53" s="497"/>
    </row>
    <row r="54" spans="1:37" ht="12">
      <c r="A54" s="387">
        <v>1000000</v>
      </c>
      <c r="B54" s="129">
        <v>3.0661</v>
      </c>
      <c r="C54" s="130"/>
      <c r="E54" s="130">
        <v>1</v>
      </c>
      <c r="F54" s="130">
        <v>1000000</v>
      </c>
      <c r="G54" s="130">
        <v>1</v>
      </c>
      <c r="H54" s="129">
        <v>3.0661</v>
      </c>
      <c r="I54" s="21"/>
      <c r="J54" s="21"/>
      <c r="K54" s="21"/>
      <c r="L54" s="21"/>
      <c r="AH54" s="497"/>
      <c r="AI54" s="497"/>
      <c r="AJ54" s="497"/>
      <c r="AK54" s="497"/>
    </row>
    <row r="55" spans="1:37" ht="12">
      <c r="A55" s="387">
        <v>2000000</v>
      </c>
      <c r="B55" s="129">
        <v>2.6982</v>
      </c>
      <c r="C55" s="130"/>
      <c r="E55" s="130">
        <v>2</v>
      </c>
      <c r="F55" s="130">
        <v>2000000</v>
      </c>
      <c r="G55" s="130">
        <v>2</v>
      </c>
      <c r="H55" s="129">
        <v>2.6982</v>
      </c>
      <c r="I55" s="22"/>
      <c r="J55" s="125"/>
      <c r="K55" s="125" t="s">
        <v>330</v>
      </c>
      <c r="L55" s="125" t="s">
        <v>331</v>
      </c>
      <c r="AH55" s="497"/>
      <c r="AI55" s="497"/>
      <c r="AJ55" s="497"/>
      <c r="AK55" s="497"/>
    </row>
    <row r="56" spans="1:37" ht="12">
      <c r="A56" s="387">
        <v>3000000</v>
      </c>
      <c r="B56" s="129">
        <v>2.4529</v>
      </c>
      <c r="C56" s="130"/>
      <c r="E56" s="130">
        <v>3</v>
      </c>
      <c r="F56" s="130">
        <v>3000000</v>
      </c>
      <c r="G56" s="130">
        <v>3</v>
      </c>
      <c r="H56" s="129">
        <v>2.4529</v>
      </c>
      <c r="I56" s="21"/>
      <c r="J56" s="21"/>
      <c r="K56" s="21"/>
      <c r="L56" s="21"/>
      <c r="AH56" s="497"/>
      <c r="AI56" s="497"/>
      <c r="AJ56" s="497"/>
      <c r="AK56" s="497"/>
    </row>
    <row r="57" spans="1:37" ht="12">
      <c r="A57" s="387">
        <v>5000000</v>
      </c>
      <c r="B57" s="129">
        <v>2.1463</v>
      </c>
      <c r="C57" s="130"/>
      <c r="E57" s="130">
        <v>4</v>
      </c>
      <c r="F57" s="387">
        <v>5000000</v>
      </c>
      <c r="G57" s="130">
        <v>4</v>
      </c>
      <c r="H57" s="129">
        <v>2.1463</v>
      </c>
      <c r="I57" s="21"/>
      <c r="J57" s="21"/>
      <c r="K57" s="21"/>
      <c r="L57" s="21"/>
      <c r="AH57" s="497"/>
      <c r="AI57" s="497"/>
      <c r="AJ57" s="497"/>
      <c r="AK57" s="497"/>
    </row>
    <row r="58" spans="1:37" ht="12">
      <c r="A58" s="387">
        <v>10000000</v>
      </c>
      <c r="B58" s="129">
        <v>1.4717</v>
      </c>
      <c r="C58" s="130"/>
      <c r="E58" s="130">
        <v>5</v>
      </c>
      <c r="F58" s="387">
        <v>10000000</v>
      </c>
      <c r="G58" s="130">
        <v>5</v>
      </c>
      <c r="H58" s="129">
        <v>1.4717</v>
      </c>
      <c r="I58" s="21"/>
      <c r="J58" s="21"/>
      <c r="K58" s="21">
        <v>0.1</v>
      </c>
      <c r="L58" s="21">
        <v>1</v>
      </c>
      <c r="AH58" s="497"/>
      <c r="AI58" s="497"/>
      <c r="AJ58" s="497"/>
      <c r="AK58" s="497"/>
    </row>
    <row r="59" spans="1:37" ht="12">
      <c r="A59" s="387">
        <v>15000000</v>
      </c>
      <c r="B59" s="129">
        <v>1.0731</v>
      </c>
      <c r="C59" s="130"/>
      <c r="E59" s="130">
        <v>6</v>
      </c>
      <c r="F59" s="387">
        <v>15000000</v>
      </c>
      <c r="G59" s="130">
        <v>6</v>
      </c>
      <c r="H59" s="129">
        <v>1.0731</v>
      </c>
      <c r="I59" s="21"/>
      <c r="J59" s="21"/>
      <c r="K59" s="21">
        <v>0.03</v>
      </c>
      <c r="L59" s="21">
        <v>0</v>
      </c>
      <c r="AH59" s="497"/>
      <c r="AI59" s="497"/>
      <c r="AJ59" s="497"/>
      <c r="AK59" s="497"/>
    </row>
    <row r="60" spans="1:37" ht="12">
      <c r="A60" s="387">
        <v>20000000</v>
      </c>
      <c r="B60" s="129">
        <v>0.8892</v>
      </c>
      <c r="C60" s="130"/>
      <c r="E60" s="130">
        <v>7</v>
      </c>
      <c r="F60" s="130">
        <v>20000000</v>
      </c>
      <c r="G60" s="130">
        <v>7</v>
      </c>
      <c r="H60" s="129">
        <v>0.8892</v>
      </c>
      <c r="I60" s="21"/>
      <c r="J60" s="21"/>
      <c r="K60" s="21">
        <v>0.15</v>
      </c>
      <c r="L60" s="21">
        <v>0</v>
      </c>
      <c r="AH60" s="497"/>
      <c r="AI60" s="497"/>
      <c r="AJ60" s="497"/>
      <c r="AK60" s="497"/>
    </row>
    <row r="61" spans="1:37" ht="12">
      <c r="A61" s="387">
        <v>30000000</v>
      </c>
      <c r="B61" s="129">
        <v>0.6439</v>
      </c>
      <c r="C61" s="130"/>
      <c r="E61" s="130">
        <v>8</v>
      </c>
      <c r="F61" s="130">
        <v>30000000</v>
      </c>
      <c r="G61" s="130">
        <v>8</v>
      </c>
      <c r="H61" s="129">
        <v>0.6439</v>
      </c>
      <c r="I61" s="21"/>
      <c r="J61" s="21"/>
      <c r="K61" s="21">
        <v>0.05</v>
      </c>
      <c r="L61" s="21">
        <v>0</v>
      </c>
      <c r="AH61" s="497"/>
      <c r="AI61" s="497"/>
      <c r="AJ61" s="497"/>
      <c r="AK61" s="497"/>
    </row>
    <row r="62" spans="1:37" ht="12">
      <c r="A62" s="387">
        <v>40000000</v>
      </c>
      <c r="B62" s="129">
        <v>0.5519</v>
      </c>
      <c r="C62" s="130"/>
      <c r="E62" s="130">
        <v>9</v>
      </c>
      <c r="F62" s="130">
        <v>40000000</v>
      </c>
      <c r="G62" s="130">
        <v>9</v>
      </c>
      <c r="H62" s="129">
        <v>0.5519</v>
      </c>
      <c r="I62" s="21"/>
      <c r="J62" s="21"/>
      <c r="K62" s="21">
        <v>0.12</v>
      </c>
      <c r="L62" s="21">
        <v>0</v>
      </c>
      <c r="AH62" s="497"/>
      <c r="AI62" s="497"/>
      <c r="AJ62" s="497"/>
      <c r="AK62" s="497"/>
    </row>
    <row r="63" spans="1:37" ht="12">
      <c r="A63" s="387">
        <v>50000000</v>
      </c>
      <c r="B63" s="129">
        <v>0.4752</v>
      </c>
      <c r="C63" s="130"/>
      <c r="E63" s="130">
        <v>10</v>
      </c>
      <c r="F63" s="130">
        <v>50000000</v>
      </c>
      <c r="G63" s="130">
        <v>10</v>
      </c>
      <c r="H63" s="129">
        <v>0.4752</v>
      </c>
      <c r="I63" s="21"/>
      <c r="J63" s="21"/>
      <c r="K63" s="21">
        <v>0.1</v>
      </c>
      <c r="L63" s="21">
        <v>0</v>
      </c>
      <c r="AH63" s="497"/>
      <c r="AI63" s="497"/>
      <c r="AJ63" s="497"/>
      <c r="AK63" s="497"/>
    </row>
    <row r="64" spans="1:37" ht="12">
      <c r="A64" s="387">
        <v>60000000</v>
      </c>
      <c r="B64" s="129">
        <v>0.4293</v>
      </c>
      <c r="C64" s="130"/>
      <c r="E64" s="130">
        <v>11</v>
      </c>
      <c r="F64" s="130">
        <v>60000000</v>
      </c>
      <c r="G64" s="130">
        <v>11</v>
      </c>
      <c r="H64" s="129">
        <v>0.4293</v>
      </c>
      <c r="I64" s="21"/>
      <c r="J64" s="21"/>
      <c r="K64" s="21">
        <v>0.25</v>
      </c>
      <c r="L64" s="21">
        <v>0</v>
      </c>
      <c r="AH64" s="497"/>
      <c r="AI64" s="497"/>
      <c r="AJ64" s="497"/>
      <c r="AK64" s="497"/>
    </row>
    <row r="65" spans="1:37" ht="12">
      <c r="A65" s="387">
        <v>70000000</v>
      </c>
      <c r="B65" s="129">
        <v>0.3986</v>
      </c>
      <c r="C65" s="130"/>
      <c r="E65" s="130">
        <v>12</v>
      </c>
      <c r="F65" s="130">
        <v>70000000</v>
      </c>
      <c r="G65" s="130">
        <v>12</v>
      </c>
      <c r="H65" s="129">
        <v>0.3986</v>
      </c>
      <c r="I65" s="22"/>
      <c r="J65" s="22"/>
      <c r="K65" s="22" t="s">
        <v>334</v>
      </c>
      <c r="L65" s="22" t="s">
        <v>334</v>
      </c>
      <c r="AH65" s="497"/>
      <c r="AI65" s="497"/>
      <c r="AJ65" s="497"/>
      <c r="AK65" s="497"/>
    </row>
    <row r="66" spans="1:37" ht="12">
      <c r="A66" s="387">
        <v>80000000</v>
      </c>
      <c r="B66" s="129">
        <v>0.3833</v>
      </c>
      <c r="C66" s="130"/>
      <c r="E66" s="130">
        <v>13</v>
      </c>
      <c r="F66" s="130">
        <v>80000000</v>
      </c>
      <c r="G66" s="130">
        <v>13</v>
      </c>
      <c r="H66" s="129">
        <v>0.3833</v>
      </c>
      <c r="I66" s="21"/>
      <c r="J66" s="21"/>
      <c r="K66" s="21">
        <v>0.05</v>
      </c>
      <c r="L66" s="21">
        <v>0</v>
      </c>
      <c r="AH66" s="497"/>
      <c r="AI66" s="497"/>
      <c r="AJ66" s="497"/>
      <c r="AK66" s="497"/>
    </row>
    <row r="67" spans="1:37" ht="12">
      <c r="A67" s="387">
        <v>90000000</v>
      </c>
      <c r="B67" s="129">
        <v>0.3679</v>
      </c>
      <c r="C67" s="130"/>
      <c r="E67" s="130">
        <v>14</v>
      </c>
      <c r="F67" s="387">
        <v>90000000</v>
      </c>
      <c r="G67" s="130">
        <v>14</v>
      </c>
      <c r="H67" s="129">
        <v>0.3679</v>
      </c>
      <c r="I67" s="21"/>
      <c r="J67" s="21"/>
      <c r="K67" s="21">
        <v>0.15</v>
      </c>
      <c r="L67" s="21">
        <v>0</v>
      </c>
      <c r="AH67" s="497"/>
      <c r="AI67" s="497"/>
      <c r="AJ67" s="497"/>
      <c r="AK67" s="497"/>
    </row>
    <row r="68" spans="1:37" ht="12">
      <c r="A68" s="387">
        <v>100000000</v>
      </c>
      <c r="B68" s="129">
        <v>0.3526</v>
      </c>
      <c r="C68" s="130"/>
      <c r="E68" s="130">
        <v>15</v>
      </c>
      <c r="F68" s="130">
        <v>100000000</v>
      </c>
      <c r="G68" s="130">
        <v>15</v>
      </c>
      <c r="H68" s="129">
        <v>0.3526</v>
      </c>
      <c r="I68" s="21"/>
      <c r="J68" s="21"/>
      <c r="K68" s="21"/>
      <c r="L68" s="21"/>
      <c r="AH68" s="497"/>
      <c r="AI68" s="497"/>
      <c r="AJ68" s="497"/>
      <c r="AK68" s="497"/>
    </row>
    <row r="69" spans="1:37" ht="12">
      <c r="A69" s="387">
        <v>150000000</v>
      </c>
      <c r="B69" s="129">
        <v>0.279</v>
      </c>
      <c r="C69" s="130"/>
      <c r="E69" s="130">
        <v>16</v>
      </c>
      <c r="F69" s="130">
        <v>150000000</v>
      </c>
      <c r="G69" s="130">
        <v>16</v>
      </c>
      <c r="H69" s="129">
        <v>0.279</v>
      </c>
      <c r="I69" s="21"/>
      <c r="J69" s="21"/>
      <c r="K69" s="21">
        <v>1</v>
      </c>
      <c r="L69" s="21">
        <v>1</v>
      </c>
      <c r="AH69" s="497"/>
      <c r="AI69" s="497"/>
      <c r="AJ69" s="497"/>
      <c r="AK69" s="497"/>
    </row>
    <row r="70" spans="1:37" ht="12">
      <c r="A70" s="387">
        <v>200000000</v>
      </c>
      <c r="B70" s="129">
        <v>0.2361</v>
      </c>
      <c r="C70" s="130"/>
      <c r="E70" s="130">
        <v>17</v>
      </c>
      <c r="F70" s="130">
        <v>200000000</v>
      </c>
      <c r="G70" s="130">
        <v>17</v>
      </c>
      <c r="H70" s="129">
        <v>0.2361</v>
      </c>
      <c r="AH70" s="497"/>
      <c r="AI70" s="497"/>
      <c r="AJ70" s="497"/>
      <c r="AK70" s="497"/>
    </row>
    <row r="71" spans="1:37" ht="12">
      <c r="A71" s="387">
        <v>300000000</v>
      </c>
      <c r="B71" s="129">
        <v>0.1901</v>
      </c>
      <c r="C71" s="130"/>
      <c r="E71" s="130">
        <v>18</v>
      </c>
      <c r="F71" s="130">
        <v>300000000</v>
      </c>
      <c r="G71" s="130">
        <v>18</v>
      </c>
      <c r="H71" s="129">
        <v>0.1901</v>
      </c>
      <c r="AH71" s="497"/>
      <c r="AI71" s="497"/>
      <c r="AJ71" s="497"/>
      <c r="AK71" s="497"/>
    </row>
    <row r="72" spans="1:37" ht="12">
      <c r="A72" s="387">
        <v>500000000</v>
      </c>
      <c r="B72" s="129">
        <v>0.1502</v>
      </c>
      <c r="C72" s="130"/>
      <c r="E72" s="130">
        <v>19</v>
      </c>
      <c r="F72" s="387">
        <v>500000000</v>
      </c>
      <c r="G72" s="130">
        <v>19</v>
      </c>
      <c r="H72" s="129">
        <v>0.1502</v>
      </c>
      <c r="AH72" s="497"/>
      <c r="AI72" s="497"/>
      <c r="AJ72" s="497"/>
      <c r="AK72" s="497"/>
    </row>
    <row r="73" spans="1:37" ht="12">
      <c r="A73" s="387">
        <v>1000000000</v>
      </c>
      <c r="B73" s="129">
        <v>0.1502</v>
      </c>
      <c r="C73" s="130"/>
      <c r="E73" s="130">
        <v>20</v>
      </c>
      <c r="F73" s="387">
        <v>1000000000</v>
      </c>
      <c r="G73" s="130">
        <v>20</v>
      </c>
      <c r="H73" s="129">
        <v>0.1502</v>
      </c>
      <c r="AH73" s="497"/>
      <c r="AI73" s="497"/>
      <c r="AJ73" s="497"/>
      <c r="AK73" s="497"/>
    </row>
    <row r="74" spans="1:37" ht="12">
      <c r="A74" s="387">
        <v>9999000000</v>
      </c>
      <c r="B74" s="129">
        <v>0.1502</v>
      </c>
      <c r="C74" s="130"/>
      <c r="E74" s="130">
        <v>21</v>
      </c>
      <c r="F74" s="130">
        <v>9999000000</v>
      </c>
      <c r="G74" s="130">
        <v>21</v>
      </c>
      <c r="H74" s="129">
        <v>0.1502</v>
      </c>
      <c r="AH74" s="497"/>
      <c r="AI74" s="497"/>
      <c r="AJ74" s="497"/>
      <c r="AK74" s="497"/>
    </row>
    <row r="75" spans="1:37" ht="12">
      <c r="A75" s="130"/>
      <c r="B75" s="130"/>
      <c r="C75" s="130"/>
      <c r="D75" s="129"/>
      <c r="E75" s="130">
        <v>22</v>
      </c>
      <c r="F75" s="130"/>
      <c r="G75" s="130"/>
      <c r="H75" s="129"/>
      <c r="AH75" s="497"/>
      <c r="AI75" s="497"/>
      <c r="AJ75" s="497"/>
      <c r="AK75" s="497"/>
    </row>
    <row r="76" spans="34:37" ht="12">
      <c r="AH76" s="497"/>
      <c r="AI76" s="497"/>
      <c r="AJ76" s="497"/>
      <c r="AK76" s="497"/>
    </row>
    <row r="77" spans="1:37" ht="12">
      <c r="A77" s="126" t="s">
        <v>297</v>
      </c>
      <c r="AH77" s="497"/>
      <c r="AI77" s="497"/>
      <c r="AJ77" s="497"/>
      <c r="AK77" s="497"/>
    </row>
    <row r="78" spans="1:37" ht="12">
      <c r="A78" s="130" t="s">
        <v>341</v>
      </c>
      <c r="B78" s="132" t="s">
        <v>343</v>
      </c>
      <c r="E78" s="128" t="s">
        <v>316</v>
      </c>
      <c r="F78" s="130" t="s">
        <v>341</v>
      </c>
      <c r="G78" s="130" t="s">
        <v>342</v>
      </c>
      <c r="H78" s="132" t="s">
        <v>343</v>
      </c>
      <c r="AH78" s="497"/>
      <c r="AI78" s="497"/>
      <c r="AJ78" s="497"/>
      <c r="AK78" s="497"/>
    </row>
    <row r="79" spans="1:37" ht="12">
      <c r="A79" s="387">
        <v>1</v>
      </c>
      <c r="B79" s="132">
        <v>2.8</v>
      </c>
      <c r="E79" s="130">
        <v>1</v>
      </c>
      <c r="F79" s="130">
        <v>1</v>
      </c>
      <c r="G79" s="130">
        <v>1</v>
      </c>
      <c r="H79" s="132">
        <v>2.8</v>
      </c>
      <c r="AH79" s="497"/>
      <c r="AI79" s="497"/>
      <c r="AJ79" s="497"/>
      <c r="AK79" s="497"/>
    </row>
    <row r="80" spans="1:37" ht="12">
      <c r="A80" s="387">
        <v>10000</v>
      </c>
      <c r="B80" s="132">
        <v>2.8</v>
      </c>
      <c r="E80" s="130">
        <v>2</v>
      </c>
      <c r="F80" s="130">
        <v>10000</v>
      </c>
      <c r="G80" s="130">
        <v>2</v>
      </c>
      <c r="H80" s="132">
        <v>2.8</v>
      </c>
      <c r="AH80" s="497"/>
      <c r="AI80" s="497"/>
      <c r="AJ80" s="497"/>
      <c r="AK80" s="497"/>
    </row>
    <row r="81" spans="1:37" ht="12">
      <c r="A81" s="387">
        <v>20000</v>
      </c>
      <c r="B81" s="132">
        <v>1.8</v>
      </c>
      <c r="E81" s="130">
        <v>3</v>
      </c>
      <c r="F81" s="130">
        <v>20000</v>
      </c>
      <c r="G81" s="130">
        <v>3</v>
      </c>
      <c r="H81" s="132">
        <v>1.8</v>
      </c>
      <c r="AH81" s="497"/>
      <c r="AI81" s="497"/>
      <c r="AJ81" s="497"/>
      <c r="AK81" s="497"/>
    </row>
    <row r="82" spans="1:37" ht="12">
      <c r="A82" s="387">
        <v>30000</v>
      </c>
      <c r="B82" s="132">
        <v>1.5</v>
      </c>
      <c r="E82" s="130">
        <v>4</v>
      </c>
      <c r="F82" s="130">
        <v>30000</v>
      </c>
      <c r="G82" s="130">
        <v>4</v>
      </c>
      <c r="H82" s="132">
        <v>1.5</v>
      </c>
      <c r="AH82" s="497"/>
      <c r="AI82" s="497"/>
      <c r="AJ82" s="497"/>
      <c r="AK82" s="497"/>
    </row>
    <row r="83" spans="1:37" ht="12">
      <c r="A83" s="387">
        <v>50000</v>
      </c>
      <c r="B83" s="132">
        <v>1.3</v>
      </c>
      <c r="E83" s="130">
        <v>5</v>
      </c>
      <c r="F83" s="130">
        <v>50000</v>
      </c>
      <c r="G83" s="130">
        <v>5</v>
      </c>
      <c r="H83" s="132">
        <v>1.3</v>
      </c>
      <c r="AH83" s="497"/>
      <c r="AI83" s="497"/>
      <c r="AJ83" s="497"/>
      <c r="AK83" s="497"/>
    </row>
    <row r="84" spans="1:37" ht="12">
      <c r="A84" s="387">
        <v>100000</v>
      </c>
      <c r="B84" s="132">
        <v>1</v>
      </c>
      <c r="E84" s="130">
        <v>6</v>
      </c>
      <c r="F84" s="130">
        <v>100000</v>
      </c>
      <c r="G84" s="130">
        <v>6</v>
      </c>
      <c r="H84" s="132">
        <v>1</v>
      </c>
      <c r="AH84" s="497"/>
      <c r="AI84" s="497"/>
      <c r="AJ84" s="497"/>
      <c r="AK84" s="497"/>
    </row>
    <row r="85" spans="1:37" ht="12">
      <c r="A85" s="387">
        <v>250000</v>
      </c>
      <c r="B85" s="132">
        <v>0.9</v>
      </c>
      <c r="E85" s="130">
        <v>7</v>
      </c>
      <c r="F85" s="130">
        <v>250000</v>
      </c>
      <c r="G85" s="130">
        <v>7</v>
      </c>
      <c r="H85" s="132">
        <v>0.9</v>
      </c>
      <c r="AH85" s="497"/>
      <c r="AI85" s="497"/>
      <c r="AJ85" s="497"/>
      <c r="AK85" s="497"/>
    </row>
    <row r="86" spans="1:37" ht="12">
      <c r="A86" s="387">
        <v>500000</v>
      </c>
      <c r="B86" s="132">
        <v>0.8</v>
      </c>
      <c r="E86" s="130">
        <v>8</v>
      </c>
      <c r="F86" s="130">
        <v>500000</v>
      </c>
      <c r="G86" s="130">
        <v>8</v>
      </c>
      <c r="H86" s="132">
        <v>0.8</v>
      </c>
      <c r="AH86" s="497"/>
      <c r="AI86" s="497"/>
      <c r="AJ86" s="497"/>
      <c r="AK86" s="497"/>
    </row>
    <row r="87" spans="1:37" ht="12">
      <c r="A87" s="387">
        <v>1000000</v>
      </c>
      <c r="B87" s="132">
        <v>0.7</v>
      </c>
      <c r="E87" s="130">
        <v>9</v>
      </c>
      <c r="F87" s="130">
        <v>1000000</v>
      </c>
      <c r="G87" s="130">
        <v>9</v>
      </c>
      <c r="H87" s="132">
        <v>0.7</v>
      </c>
      <c r="AH87" s="497"/>
      <c r="AI87" s="497"/>
      <c r="AJ87" s="497"/>
      <c r="AK87" s="497"/>
    </row>
    <row r="88" spans="1:37" ht="12">
      <c r="A88" s="387">
        <v>100000000</v>
      </c>
      <c r="B88" s="132">
        <v>0.5</v>
      </c>
      <c r="E88" s="130">
        <v>10</v>
      </c>
      <c r="F88" s="130">
        <v>100000000</v>
      </c>
      <c r="G88" s="130">
        <v>10</v>
      </c>
      <c r="H88" s="132">
        <v>0.5</v>
      </c>
      <c r="AH88" s="497"/>
      <c r="AI88" s="497"/>
      <c r="AJ88" s="497"/>
      <c r="AK88" s="497"/>
    </row>
    <row r="89" spans="34:37" ht="12">
      <c r="AH89" s="497"/>
      <c r="AI89" s="497"/>
      <c r="AJ89" s="497"/>
      <c r="AK89" s="497"/>
    </row>
    <row r="90" spans="34:37" ht="12">
      <c r="AH90" s="497"/>
      <c r="AI90" s="497"/>
      <c r="AJ90" s="497"/>
      <c r="AK90" s="497"/>
    </row>
    <row r="91" spans="1:37" ht="12">
      <c r="A91" s="126" t="s">
        <v>381</v>
      </c>
      <c r="AH91" s="497"/>
      <c r="AI91" s="497"/>
      <c r="AJ91" s="497"/>
      <c r="AK91" s="497"/>
    </row>
    <row r="92" spans="1:37" ht="12">
      <c r="A92" s="130" t="s">
        <v>344</v>
      </c>
      <c r="B92" s="133" t="s">
        <v>343</v>
      </c>
      <c r="E92" s="128" t="s">
        <v>316</v>
      </c>
      <c r="F92" s="130" t="s">
        <v>344</v>
      </c>
      <c r="G92" s="130" t="s">
        <v>342</v>
      </c>
      <c r="H92" s="133" t="s">
        <v>343</v>
      </c>
      <c r="AH92" s="497"/>
      <c r="AI92" s="497"/>
      <c r="AJ92" s="497"/>
      <c r="AK92" s="497"/>
    </row>
    <row r="93" spans="1:37" ht="12">
      <c r="A93" s="387">
        <v>1</v>
      </c>
      <c r="B93" s="133">
        <v>0.55</v>
      </c>
      <c r="E93" s="130">
        <v>1</v>
      </c>
      <c r="F93" s="130">
        <v>1</v>
      </c>
      <c r="G93" s="130">
        <v>1</v>
      </c>
      <c r="H93" s="133">
        <v>0.55</v>
      </c>
      <c r="AH93" s="497"/>
      <c r="AI93" s="497"/>
      <c r="AJ93" s="497"/>
      <c r="AK93" s="497"/>
    </row>
    <row r="94" spans="1:37" ht="12">
      <c r="A94" s="387">
        <v>500000</v>
      </c>
      <c r="B94" s="133">
        <v>0.55</v>
      </c>
      <c r="E94" s="130">
        <v>2</v>
      </c>
      <c r="F94" s="130">
        <v>500000</v>
      </c>
      <c r="G94" s="130">
        <v>2</v>
      </c>
      <c r="H94" s="133">
        <v>0.55</v>
      </c>
      <c r="AH94" s="497"/>
      <c r="AI94" s="497"/>
      <c r="AJ94" s="497"/>
      <c r="AK94" s="497"/>
    </row>
    <row r="95" spans="1:37" ht="12">
      <c r="A95" s="387">
        <v>1000000</v>
      </c>
      <c r="B95" s="133">
        <v>0.5</v>
      </c>
      <c r="E95" s="130">
        <v>3</v>
      </c>
      <c r="F95" s="130">
        <v>1000000</v>
      </c>
      <c r="G95" s="130">
        <v>3</v>
      </c>
      <c r="H95" s="133">
        <v>0.5</v>
      </c>
      <c r="AH95" s="497"/>
      <c r="AI95" s="497"/>
      <c r="AJ95" s="497"/>
      <c r="AK95" s="497"/>
    </row>
    <row r="96" spans="1:37" ht="12">
      <c r="A96" s="387">
        <v>2500000</v>
      </c>
      <c r="B96" s="133">
        <v>0.45</v>
      </c>
      <c r="E96" s="130">
        <v>4</v>
      </c>
      <c r="F96" s="130">
        <v>2500000</v>
      </c>
      <c r="G96" s="130">
        <v>4</v>
      </c>
      <c r="H96" s="133">
        <v>0.45</v>
      </c>
      <c r="AH96" s="497"/>
      <c r="AI96" s="497"/>
      <c r="AJ96" s="497"/>
      <c r="AK96" s="497"/>
    </row>
    <row r="97" spans="1:37" ht="12">
      <c r="A97" s="387">
        <v>5000000</v>
      </c>
      <c r="B97" s="133">
        <v>0.41</v>
      </c>
      <c r="E97" s="130">
        <v>5</v>
      </c>
      <c r="F97" s="130">
        <v>5000000</v>
      </c>
      <c r="G97" s="130">
        <v>5</v>
      </c>
      <c r="H97" s="133">
        <v>0.41</v>
      </c>
      <c r="AH97" s="497"/>
      <c r="AI97" s="497"/>
      <c r="AJ97" s="497"/>
      <c r="AK97" s="497"/>
    </row>
    <row r="98" spans="1:37" ht="12">
      <c r="A98" s="387">
        <v>7500000</v>
      </c>
      <c r="B98" s="133">
        <v>0.38</v>
      </c>
      <c r="E98" s="130">
        <v>6</v>
      </c>
      <c r="F98" s="130">
        <v>7500000</v>
      </c>
      <c r="G98" s="130">
        <v>6</v>
      </c>
      <c r="H98" s="133">
        <v>0.38</v>
      </c>
      <c r="AH98" s="497"/>
      <c r="AI98" s="497"/>
      <c r="AJ98" s="497"/>
      <c r="AK98" s="497"/>
    </row>
    <row r="99" spans="1:37" ht="12">
      <c r="A99" s="387">
        <v>10000000</v>
      </c>
      <c r="B99" s="133">
        <v>0.35</v>
      </c>
      <c r="E99" s="130">
        <v>7</v>
      </c>
      <c r="F99" s="130">
        <v>10000000</v>
      </c>
      <c r="G99" s="130">
        <v>7</v>
      </c>
      <c r="H99" s="133">
        <v>0.35</v>
      </c>
      <c r="AH99" s="497"/>
      <c r="AI99" s="497"/>
      <c r="AJ99" s="497"/>
      <c r="AK99" s="497"/>
    </row>
    <row r="100" spans="1:37" ht="12">
      <c r="A100" s="387">
        <v>15000000</v>
      </c>
      <c r="B100" s="133">
        <v>0.31</v>
      </c>
      <c r="E100" s="130">
        <v>8</v>
      </c>
      <c r="F100" s="130">
        <v>15000000</v>
      </c>
      <c r="G100" s="130">
        <v>8</v>
      </c>
      <c r="H100" s="133">
        <v>0.31</v>
      </c>
      <c r="AH100" s="497"/>
      <c r="AI100" s="497"/>
      <c r="AJ100" s="497"/>
      <c r="AK100" s="497"/>
    </row>
    <row r="101" spans="1:37" ht="12">
      <c r="A101" s="387">
        <v>20000000</v>
      </c>
      <c r="B101" s="133">
        <v>0.28</v>
      </c>
      <c r="E101" s="130">
        <v>9</v>
      </c>
      <c r="F101" s="130">
        <v>20000000</v>
      </c>
      <c r="G101" s="130">
        <v>9</v>
      </c>
      <c r="H101" s="133">
        <v>0.28</v>
      </c>
      <c r="AH101" s="497"/>
      <c r="AI101" s="497"/>
      <c r="AJ101" s="497"/>
      <c r="AK101" s="497"/>
    </row>
    <row r="102" spans="1:37" ht="12">
      <c r="A102" s="387">
        <v>25000000</v>
      </c>
      <c r="B102" s="133">
        <v>0.25</v>
      </c>
      <c r="E102" s="130">
        <v>10</v>
      </c>
      <c r="F102" s="130">
        <v>25000000</v>
      </c>
      <c r="G102" s="130">
        <v>10</v>
      </c>
      <c r="H102" s="133">
        <v>0.25</v>
      </c>
      <c r="AH102" s="497"/>
      <c r="AI102" s="497"/>
      <c r="AJ102" s="497"/>
      <c r="AK102" s="497"/>
    </row>
    <row r="103" spans="34:37" ht="12">
      <c r="AH103" s="497"/>
      <c r="AI103" s="497"/>
      <c r="AJ103" s="497"/>
      <c r="AK103" s="497"/>
    </row>
    <row r="104" spans="34:37" ht="12">
      <c r="AH104" s="497"/>
      <c r="AI104" s="497"/>
      <c r="AJ104" s="497"/>
      <c r="AK104" s="497"/>
    </row>
    <row r="105" spans="34:37" ht="12">
      <c r="AH105" s="497"/>
      <c r="AI105" s="497"/>
      <c r="AJ105" s="497"/>
      <c r="AK105" s="497"/>
    </row>
    <row r="106" spans="34:37" ht="12">
      <c r="AH106" s="497"/>
      <c r="AI106" s="497"/>
      <c r="AJ106" s="497"/>
      <c r="AK106" s="497"/>
    </row>
    <row r="107" spans="34:37" ht="12">
      <c r="AH107" s="497"/>
      <c r="AI107" s="497"/>
      <c r="AJ107" s="497"/>
      <c r="AK107" s="497"/>
    </row>
    <row r="108" spans="34:37" ht="12">
      <c r="AH108" s="497"/>
      <c r="AI108" s="497"/>
      <c r="AJ108" s="497"/>
      <c r="AK108" s="497"/>
    </row>
    <row r="109" spans="34:37" ht="12">
      <c r="AH109" s="497"/>
      <c r="AI109" s="497"/>
      <c r="AJ109" s="497"/>
      <c r="AK109" s="497"/>
    </row>
    <row r="110" spans="2:37" ht="15">
      <c r="B110" s="134" t="s">
        <v>255</v>
      </c>
      <c r="C110" s="134" t="s">
        <v>298</v>
      </c>
      <c r="AH110" s="497"/>
      <c r="AI110" s="497"/>
      <c r="AJ110" s="497"/>
      <c r="AK110" s="497"/>
    </row>
    <row r="111" spans="2:37" ht="15">
      <c r="B111" s="134" t="s">
        <v>256</v>
      </c>
      <c r="C111" s="134" t="s">
        <v>247</v>
      </c>
      <c r="AH111" s="497"/>
      <c r="AI111" s="497"/>
      <c r="AJ111" s="497"/>
      <c r="AK111" s="497"/>
    </row>
    <row r="112" spans="2:37" ht="15">
      <c r="B112" s="134" t="s">
        <v>257</v>
      </c>
      <c r="C112" s="134" t="s">
        <v>248</v>
      </c>
      <c r="AH112" s="497"/>
      <c r="AI112" s="497"/>
      <c r="AJ112" s="497"/>
      <c r="AK112" s="497"/>
    </row>
    <row r="113" spans="2:37" ht="15">
      <c r="B113" s="134" t="s">
        <v>258</v>
      </c>
      <c r="C113" s="134" t="s">
        <v>249</v>
      </c>
      <c r="AH113" s="497"/>
      <c r="AI113" s="497"/>
      <c r="AJ113" s="497"/>
      <c r="AK113" s="497"/>
    </row>
    <row r="114" spans="2:37" ht="15">
      <c r="B114" s="134" t="s">
        <v>259</v>
      </c>
      <c r="C114" s="134" t="s">
        <v>250</v>
      </c>
      <c r="AH114" s="497"/>
      <c r="AI114" s="497"/>
      <c r="AJ114" s="497"/>
      <c r="AK114" s="497"/>
    </row>
    <row r="115" spans="2:37" ht="15">
      <c r="B115" s="134" t="s">
        <v>260</v>
      </c>
      <c r="C115" s="134" t="s">
        <v>251</v>
      </c>
      <c r="AH115" s="497"/>
      <c r="AI115" s="497"/>
      <c r="AJ115" s="497"/>
      <c r="AK115" s="497"/>
    </row>
    <row r="116" spans="2:37" ht="15">
      <c r="B116" s="134" t="s">
        <v>261</v>
      </c>
      <c r="C116" s="134" t="s">
        <v>252</v>
      </c>
      <c r="AH116" s="497"/>
      <c r="AI116" s="497"/>
      <c r="AJ116" s="497"/>
      <c r="AK116" s="497"/>
    </row>
    <row r="117" spans="2:37" ht="15">
      <c r="B117" s="134" t="s">
        <v>266</v>
      </c>
      <c r="C117" s="134" t="s">
        <v>290</v>
      </c>
      <c r="AH117" s="497"/>
      <c r="AI117" s="497"/>
      <c r="AJ117" s="497"/>
      <c r="AK117" s="497"/>
    </row>
    <row r="118" spans="2:37" ht="15">
      <c r="B118" s="134" t="s">
        <v>267</v>
      </c>
      <c r="C118" s="134" t="s">
        <v>289</v>
      </c>
      <c r="AH118" s="497"/>
      <c r="AI118" s="497"/>
      <c r="AJ118" s="497"/>
      <c r="AK118" s="497"/>
    </row>
    <row r="119" spans="2:37" ht="15">
      <c r="B119" s="134" t="s">
        <v>265</v>
      </c>
      <c r="C119" s="134" t="s">
        <v>288</v>
      </c>
      <c r="AH119" s="497"/>
      <c r="AI119" s="497"/>
      <c r="AJ119" s="497"/>
      <c r="AK119" s="497"/>
    </row>
    <row r="120" spans="2:37" ht="15">
      <c r="B120" s="134" t="s">
        <v>262</v>
      </c>
      <c r="C120" s="134" t="s">
        <v>210</v>
      </c>
      <c r="AH120" s="497"/>
      <c r="AI120" s="497"/>
      <c r="AJ120" s="497"/>
      <c r="AK120" s="497"/>
    </row>
    <row r="121" spans="2:37" ht="15">
      <c r="B121" s="134" t="s">
        <v>263</v>
      </c>
      <c r="C121" s="134" t="s">
        <v>211</v>
      </c>
      <c r="AH121" s="497"/>
      <c r="AI121" s="497"/>
      <c r="AJ121" s="497"/>
      <c r="AK121" s="497"/>
    </row>
    <row r="122" spans="2:37" ht="15">
      <c r="B122" s="134" t="s">
        <v>264</v>
      </c>
      <c r="C122" s="134" t="s">
        <v>280</v>
      </c>
      <c r="AH122" s="497"/>
      <c r="AI122" s="497"/>
      <c r="AJ122" s="497"/>
      <c r="AK122" s="497"/>
    </row>
    <row r="123" spans="2:37" ht="15">
      <c r="B123" s="134" t="s">
        <v>268</v>
      </c>
      <c r="C123" s="134" t="s">
        <v>285</v>
      </c>
      <c r="AH123" s="497"/>
      <c r="AI123" s="497"/>
      <c r="AJ123" s="497"/>
      <c r="AK123" s="497"/>
    </row>
    <row r="124" spans="2:37" ht="15">
      <c r="B124" s="134" t="s">
        <v>269</v>
      </c>
      <c r="C124" s="134" t="s">
        <v>286</v>
      </c>
      <c r="AH124" s="497"/>
      <c r="AI124" s="497"/>
      <c r="AJ124" s="497"/>
      <c r="AK124" s="497"/>
    </row>
    <row r="125" spans="2:37" ht="15">
      <c r="B125" s="134" t="s">
        <v>270</v>
      </c>
      <c r="C125" s="134" t="s">
        <v>287</v>
      </c>
      <c r="AH125" s="497"/>
      <c r="AI125" s="497"/>
      <c r="AJ125" s="497"/>
      <c r="AK125" s="497"/>
    </row>
    <row r="126" spans="2:37" ht="15">
      <c r="B126" s="134" t="s">
        <v>329</v>
      </c>
      <c r="C126" s="134" t="s">
        <v>279</v>
      </c>
      <c r="AH126" s="497"/>
      <c r="AI126" s="497"/>
      <c r="AJ126" s="497"/>
      <c r="AK126" s="497"/>
    </row>
    <row r="127" spans="2:37" ht="15">
      <c r="B127" s="134" t="s">
        <v>271</v>
      </c>
      <c r="C127" s="134" t="s">
        <v>281</v>
      </c>
      <c r="AH127" s="497"/>
      <c r="AI127" s="497"/>
      <c r="AJ127" s="497"/>
      <c r="AK127" s="497"/>
    </row>
    <row r="128" spans="2:37" ht="15">
      <c r="B128" s="134" t="s">
        <v>272</v>
      </c>
      <c r="C128" s="134" t="s">
        <v>282</v>
      </c>
      <c r="AH128" s="497"/>
      <c r="AI128" s="497"/>
      <c r="AJ128" s="497"/>
      <c r="AK128" s="497"/>
    </row>
    <row r="129" spans="2:37" ht="15">
      <c r="B129" s="134" t="s">
        <v>273</v>
      </c>
      <c r="C129" s="134" t="s">
        <v>291</v>
      </c>
      <c r="AH129" s="497"/>
      <c r="AI129" s="497"/>
      <c r="AJ129" s="497"/>
      <c r="AK129" s="497"/>
    </row>
    <row r="130" spans="2:37" ht="15">
      <c r="B130" s="134" t="s">
        <v>274</v>
      </c>
      <c r="C130" s="134" t="s">
        <v>292</v>
      </c>
      <c r="D130" s="134"/>
      <c r="E130" s="134"/>
      <c r="AH130" s="497"/>
      <c r="AI130" s="497"/>
      <c r="AJ130" s="497"/>
      <c r="AK130" s="497"/>
    </row>
    <row r="131" spans="2:37" ht="15">
      <c r="B131" s="134" t="s">
        <v>275</v>
      </c>
      <c r="C131" s="134" t="s">
        <v>293</v>
      </c>
      <c r="D131" s="134"/>
      <c r="E131" s="134"/>
      <c r="AH131" s="497"/>
      <c r="AI131" s="497"/>
      <c r="AJ131" s="497"/>
      <c r="AK131" s="497"/>
    </row>
    <row r="132" spans="2:37" ht="15">
      <c r="B132" s="134" t="s">
        <v>330</v>
      </c>
      <c r="C132" s="134" t="s">
        <v>284</v>
      </c>
      <c r="D132" s="134"/>
      <c r="E132" s="134"/>
      <c r="AH132" s="497"/>
      <c r="AI132" s="497"/>
      <c r="AJ132" s="497"/>
      <c r="AK132" s="497"/>
    </row>
    <row r="133" spans="2:37" ht="15">
      <c r="B133" s="134" t="s">
        <v>276</v>
      </c>
      <c r="C133" s="134" t="s">
        <v>294</v>
      </c>
      <c r="D133" s="134"/>
      <c r="E133" s="134"/>
      <c r="AH133" s="497"/>
      <c r="AI133" s="497"/>
      <c r="AJ133" s="497"/>
      <c r="AK133" s="497"/>
    </row>
    <row r="134" spans="2:37" ht="15">
      <c r="B134" s="134" t="s">
        <v>277</v>
      </c>
      <c r="C134" s="134" t="s">
        <v>295</v>
      </c>
      <c r="D134" s="134"/>
      <c r="E134" s="134"/>
      <c r="AH134" s="497"/>
      <c r="AI134" s="497"/>
      <c r="AJ134" s="497"/>
      <c r="AK134" s="497"/>
    </row>
    <row r="135" spans="2:37" ht="15">
      <c r="B135" s="134" t="s">
        <v>278</v>
      </c>
      <c r="C135" s="134" t="s">
        <v>296</v>
      </c>
      <c r="D135" s="134"/>
      <c r="E135" s="134"/>
      <c r="AH135" s="497"/>
      <c r="AI135" s="497"/>
      <c r="AJ135" s="497"/>
      <c r="AK135" s="497"/>
    </row>
    <row r="136" spans="2:37" ht="15">
      <c r="B136" s="134"/>
      <c r="C136" s="134"/>
      <c r="D136" s="134"/>
      <c r="E136" s="134"/>
      <c r="AH136" s="497"/>
      <c r="AI136" s="497"/>
      <c r="AJ136" s="497"/>
      <c r="AK136" s="497"/>
    </row>
    <row r="137" spans="2:37" ht="15">
      <c r="B137" s="134"/>
      <c r="C137" s="134"/>
      <c r="D137" s="134"/>
      <c r="E137" s="134"/>
      <c r="AH137" s="497"/>
      <c r="AI137" s="497"/>
      <c r="AJ137" s="497"/>
      <c r="AK137" s="497"/>
    </row>
    <row r="138" spans="1:37" ht="15">
      <c r="A138" s="153"/>
      <c r="B138" s="154"/>
      <c r="C138" s="154"/>
      <c r="D138" s="154"/>
      <c r="E138" s="154"/>
      <c r="F138" s="155"/>
      <c r="G138" s="155"/>
      <c r="AH138" s="497"/>
      <c r="AI138" s="497"/>
      <c r="AJ138" s="497"/>
      <c r="AK138" s="497"/>
    </row>
    <row r="139" spans="1:37" ht="15">
      <c r="A139" s="155"/>
      <c r="B139" s="154"/>
      <c r="C139" s="154"/>
      <c r="D139" s="154"/>
      <c r="E139" s="154"/>
      <c r="F139" s="155"/>
      <c r="G139" s="155"/>
      <c r="AH139" s="497"/>
      <c r="AI139" s="497"/>
      <c r="AJ139" s="497"/>
      <c r="AK139" s="497"/>
    </row>
    <row r="140" spans="1:37" ht="15">
      <c r="A140" s="156"/>
      <c r="B140" s="157"/>
      <c r="C140" s="154"/>
      <c r="D140" s="154"/>
      <c r="E140" s="154"/>
      <c r="F140" s="155"/>
      <c r="G140" s="23" t="s">
        <v>325</v>
      </c>
      <c r="AH140" s="497"/>
      <c r="AI140" s="497"/>
      <c r="AJ140" s="497"/>
      <c r="AK140" s="497"/>
    </row>
    <row r="141" spans="1:37" ht="15">
      <c r="A141" s="156"/>
      <c r="B141" s="154"/>
      <c r="C141" s="158"/>
      <c r="D141" s="159">
        <v>1.8397</v>
      </c>
      <c r="E141" s="160">
        <v>91985</v>
      </c>
      <c r="F141" s="161" t="s">
        <v>332</v>
      </c>
      <c r="G141" s="21">
        <v>0.1</v>
      </c>
      <c r="I141" s="32">
        <f>SUM(G141:G146)</f>
        <v>0.65</v>
      </c>
      <c r="AH141" s="497"/>
      <c r="AI141" s="497"/>
      <c r="AJ141" s="497"/>
      <c r="AK141" s="497"/>
    </row>
    <row r="142" spans="1:37" ht="15">
      <c r="A142" s="160"/>
      <c r="B142" s="154"/>
      <c r="C142" s="154"/>
      <c r="D142" s="159">
        <v>1.6863</v>
      </c>
      <c r="E142" s="160">
        <v>252945</v>
      </c>
      <c r="F142" s="161" t="s">
        <v>333</v>
      </c>
      <c r="G142" s="21">
        <v>0.02</v>
      </c>
      <c r="AH142" s="497"/>
      <c r="AI142" s="497"/>
      <c r="AJ142" s="497"/>
      <c r="AK142" s="497"/>
    </row>
    <row r="143" spans="1:37" ht="15">
      <c r="A143" s="155"/>
      <c r="B143" s="154"/>
      <c r="C143" s="154"/>
      <c r="D143" s="159">
        <v>1.533</v>
      </c>
      <c r="E143" s="160">
        <v>459900</v>
      </c>
      <c r="F143" s="161" t="s">
        <v>335</v>
      </c>
      <c r="G143" s="21">
        <v>0.25</v>
      </c>
      <c r="AH143" s="497"/>
      <c r="AI143" s="497"/>
      <c r="AJ143" s="497"/>
      <c r="AK143" s="497"/>
    </row>
    <row r="144" spans="1:37" ht="15">
      <c r="A144" s="155"/>
      <c r="B144" s="154"/>
      <c r="C144" s="154"/>
      <c r="D144" s="159">
        <v>1.2264</v>
      </c>
      <c r="E144" s="160">
        <v>613200</v>
      </c>
      <c r="F144" s="161" t="s">
        <v>336</v>
      </c>
      <c r="G144" s="21">
        <v>0.1</v>
      </c>
      <c r="AH144" s="497"/>
      <c r="AI144" s="497"/>
      <c r="AJ144" s="497"/>
      <c r="AK144" s="497"/>
    </row>
    <row r="145" spans="1:37" ht="15">
      <c r="A145" s="155"/>
      <c r="B145" s="154"/>
      <c r="C145" s="154"/>
      <c r="D145" s="159">
        <v>1.0731</v>
      </c>
      <c r="E145" s="160">
        <v>37803166.8</v>
      </c>
      <c r="F145" s="161" t="s">
        <v>337</v>
      </c>
      <c r="G145" s="21">
        <v>0.15</v>
      </c>
      <c r="AH145" s="497"/>
      <c r="AI145" s="497"/>
      <c r="AJ145" s="497"/>
      <c r="AK145" s="497"/>
    </row>
    <row r="146" spans="1:37" ht="15">
      <c r="A146" s="155"/>
      <c r="B146" s="154"/>
      <c r="C146" s="154"/>
      <c r="D146" s="154"/>
      <c r="E146" s="154"/>
      <c r="F146" s="161" t="s">
        <v>338</v>
      </c>
      <c r="G146" s="21">
        <v>0.03</v>
      </c>
      <c r="AH146" s="497"/>
      <c r="AI146" s="497"/>
      <c r="AJ146" s="497"/>
      <c r="AK146" s="497"/>
    </row>
    <row r="147" spans="1:37" ht="15">
      <c r="A147" s="155"/>
      <c r="B147" s="154"/>
      <c r="C147" s="154"/>
      <c r="D147" s="154"/>
      <c r="E147" s="154"/>
      <c r="F147" s="161" t="s">
        <v>339</v>
      </c>
      <c r="G147" s="21">
        <v>0.25</v>
      </c>
      <c r="AH147" s="497"/>
      <c r="AI147" s="497"/>
      <c r="AJ147" s="497"/>
      <c r="AK147" s="497"/>
    </row>
    <row r="148" spans="1:37" ht="15">
      <c r="A148" s="155"/>
      <c r="B148" s="154"/>
      <c r="C148" s="154"/>
      <c r="D148" s="154"/>
      <c r="E148" s="154"/>
      <c r="F148" s="161" t="s">
        <v>340</v>
      </c>
      <c r="G148" s="21">
        <v>0.03</v>
      </c>
      <c r="AH148" s="497"/>
      <c r="AI148" s="497"/>
      <c r="AJ148" s="497"/>
      <c r="AK148" s="497"/>
    </row>
    <row r="149" spans="1:37" ht="15">
      <c r="A149" s="155"/>
      <c r="B149" s="154"/>
      <c r="C149" s="154"/>
      <c r="D149" s="154"/>
      <c r="E149" s="154"/>
      <c r="F149" s="161" t="s">
        <v>348</v>
      </c>
      <c r="G149" s="21">
        <v>0.07</v>
      </c>
      <c r="AH149" s="497"/>
      <c r="AI149" s="497"/>
      <c r="AJ149" s="497"/>
      <c r="AK149" s="497"/>
    </row>
    <row r="150" spans="2:37" ht="15">
      <c r="B150" s="134"/>
      <c r="C150" s="134"/>
      <c r="D150" s="134"/>
      <c r="E150" s="134"/>
      <c r="G150" s="21"/>
      <c r="AH150" s="497"/>
      <c r="AI150" s="497"/>
      <c r="AJ150" s="497"/>
      <c r="AK150" s="497"/>
    </row>
    <row r="151" spans="2:37" ht="15">
      <c r="B151" s="134"/>
      <c r="C151" s="134"/>
      <c r="D151" s="134"/>
      <c r="E151" s="134"/>
      <c r="AH151" s="497"/>
      <c r="AI151" s="497"/>
      <c r="AJ151" s="497"/>
      <c r="AK151" s="497"/>
    </row>
    <row r="152" spans="2:37" ht="15">
      <c r="B152" s="134"/>
      <c r="C152" s="134"/>
      <c r="D152" s="134"/>
      <c r="E152" s="134"/>
      <c r="AH152" s="497"/>
      <c r="AI152" s="497"/>
      <c r="AJ152" s="497"/>
      <c r="AK152" s="497"/>
    </row>
    <row r="153" spans="2:37" ht="15">
      <c r="B153" s="134"/>
      <c r="C153" s="134"/>
      <c r="D153" s="134"/>
      <c r="E153" s="134"/>
      <c r="AH153" s="497"/>
      <c r="AI153" s="497"/>
      <c r="AJ153" s="497"/>
      <c r="AK153" s="497"/>
    </row>
    <row r="154" spans="1:37" ht="12">
      <c r="A154" s="497"/>
      <c r="B154" s="497"/>
      <c r="C154" s="497"/>
      <c r="D154" s="497"/>
      <c r="E154" s="497"/>
      <c r="F154" s="497"/>
      <c r="G154" s="497"/>
      <c r="H154" s="497"/>
      <c r="I154" s="497"/>
      <c r="J154" s="497"/>
      <c r="K154" s="497"/>
      <c r="L154" s="497"/>
      <c r="M154" s="497"/>
      <c r="N154" s="497"/>
      <c r="O154" s="497"/>
      <c r="P154" s="497"/>
      <c r="Q154" s="497"/>
      <c r="R154" s="497"/>
      <c r="S154" s="497"/>
      <c r="T154" s="497"/>
      <c r="U154" s="497"/>
      <c r="V154" s="497"/>
      <c r="W154" s="497"/>
      <c r="X154" s="497"/>
      <c r="Y154" s="497"/>
      <c r="Z154" s="497"/>
      <c r="AA154" s="497"/>
      <c r="AB154" s="497"/>
      <c r="AC154" s="497"/>
      <c r="AD154" s="497"/>
      <c r="AE154" s="497"/>
      <c r="AF154" s="497"/>
      <c r="AG154" s="497"/>
      <c r="AH154" s="497"/>
      <c r="AI154" s="497"/>
      <c r="AJ154" s="497"/>
      <c r="AK154" s="497"/>
    </row>
    <row r="155" spans="1:37" ht="12">
      <c r="A155" s="497"/>
      <c r="B155" s="497"/>
      <c r="C155" s="497"/>
      <c r="D155" s="497"/>
      <c r="E155" s="497"/>
      <c r="F155" s="497"/>
      <c r="G155" s="497"/>
      <c r="H155" s="497"/>
      <c r="I155" s="497"/>
      <c r="J155" s="497"/>
      <c r="K155" s="497"/>
      <c r="L155" s="497"/>
      <c r="M155" s="497"/>
      <c r="N155" s="497"/>
      <c r="O155" s="497"/>
      <c r="P155" s="497"/>
      <c r="Q155" s="497"/>
      <c r="R155" s="497"/>
      <c r="S155" s="497"/>
      <c r="T155" s="497"/>
      <c r="U155" s="497"/>
      <c r="V155" s="497"/>
      <c r="W155" s="497"/>
      <c r="X155" s="497"/>
      <c r="Y155" s="497"/>
      <c r="Z155" s="497"/>
      <c r="AA155" s="497"/>
      <c r="AB155" s="497"/>
      <c r="AC155" s="497"/>
      <c r="AD155" s="497"/>
      <c r="AE155" s="497"/>
      <c r="AF155" s="497"/>
      <c r="AG155" s="497"/>
      <c r="AH155" s="497"/>
      <c r="AI155" s="497"/>
      <c r="AJ155" s="497"/>
      <c r="AK155" s="497"/>
    </row>
    <row r="156" spans="1:37" ht="12">
      <c r="A156" s="497"/>
      <c r="B156" s="497"/>
      <c r="C156" s="497"/>
      <c r="D156" s="497"/>
      <c r="E156" s="497"/>
      <c r="F156" s="497"/>
      <c r="G156" s="497"/>
      <c r="H156" s="497"/>
      <c r="I156" s="497"/>
      <c r="J156" s="497"/>
      <c r="K156" s="497"/>
      <c r="L156" s="497"/>
      <c r="M156" s="497"/>
      <c r="N156" s="497"/>
      <c r="O156" s="497"/>
      <c r="P156" s="497"/>
      <c r="Q156" s="497"/>
      <c r="R156" s="497"/>
      <c r="S156" s="497"/>
      <c r="T156" s="497"/>
      <c r="U156" s="497"/>
      <c r="V156" s="497"/>
      <c r="W156" s="497"/>
      <c r="X156" s="497"/>
      <c r="Y156" s="497"/>
      <c r="Z156" s="497"/>
      <c r="AA156" s="497"/>
      <c r="AB156" s="497"/>
      <c r="AC156" s="497"/>
      <c r="AD156" s="497"/>
      <c r="AE156" s="497"/>
      <c r="AF156" s="497"/>
      <c r="AG156" s="497"/>
      <c r="AH156" s="497"/>
      <c r="AI156" s="497"/>
      <c r="AJ156" s="497"/>
      <c r="AK156" s="497"/>
    </row>
    <row r="157" spans="1:37" ht="12">
      <c r="A157" s="497"/>
      <c r="B157" s="497"/>
      <c r="C157" s="497"/>
      <c r="D157" s="497"/>
      <c r="E157" s="497"/>
      <c r="F157" s="497"/>
      <c r="G157" s="497"/>
      <c r="H157" s="497"/>
      <c r="I157" s="497"/>
      <c r="J157" s="497"/>
      <c r="K157" s="497"/>
      <c r="L157" s="497"/>
      <c r="M157" s="497"/>
      <c r="N157" s="497"/>
      <c r="O157" s="497"/>
      <c r="P157" s="497"/>
      <c r="Q157" s="497"/>
      <c r="R157" s="497"/>
      <c r="S157" s="497"/>
      <c r="T157" s="497"/>
      <c r="U157" s="497"/>
      <c r="V157" s="497"/>
      <c r="W157" s="497"/>
      <c r="X157" s="497"/>
      <c r="Y157" s="497"/>
      <c r="Z157" s="497"/>
      <c r="AA157" s="497"/>
      <c r="AB157" s="497"/>
      <c r="AC157" s="497"/>
      <c r="AD157" s="497"/>
      <c r="AE157" s="497"/>
      <c r="AF157" s="497"/>
      <c r="AG157" s="497"/>
      <c r="AH157" s="497"/>
      <c r="AI157" s="497"/>
      <c r="AJ157" s="497"/>
      <c r="AK157" s="497"/>
    </row>
    <row r="158" spans="1:37" ht="12">
      <c r="A158" s="497"/>
      <c r="B158" s="497"/>
      <c r="C158" s="497"/>
      <c r="D158" s="497"/>
      <c r="E158" s="497"/>
      <c r="F158" s="497"/>
      <c r="G158" s="497"/>
      <c r="H158" s="497"/>
      <c r="I158" s="497"/>
      <c r="J158" s="497"/>
      <c r="K158" s="497"/>
      <c r="L158" s="497"/>
      <c r="M158" s="497"/>
      <c r="N158" s="497"/>
      <c r="O158" s="497"/>
      <c r="P158" s="497"/>
      <c r="Q158" s="497"/>
      <c r="R158" s="497"/>
      <c r="S158" s="497"/>
      <c r="T158" s="497"/>
      <c r="U158" s="497"/>
      <c r="V158" s="497"/>
      <c r="W158" s="497"/>
      <c r="X158" s="497"/>
      <c r="Y158" s="497"/>
      <c r="Z158" s="497"/>
      <c r="AA158" s="497"/>
      <c r="AB158" s="497"/>
      <c r="AC158" s="497"/>
      <c r="AD158" s="497"/>
      <c r="AE158" s="497"/>
      <c r="AF158" s="497"/>
      <c r="AG158" s="497"/>
      <c r="AH158" s="497"/>
      <c r="AI158" s="497"/>
      <c r="AJ158" s="497"/>
      <c r="AK158" s="497"/>
    </row>
    <row r="159" spans="1:37" ht="12">
      <c r="A159" s="497"/>
      <c r="B159" s="497"/>
      <c r="C159" s="497"/>
      <c r="D159" s="497"/>
      <c r="E159" s="497"/>
      <c r="F159" s="497"/>
      <c r="G159" s="497"/>
      <c r="H159" s="497"/>
      <c r="I159" s="497"/>
      <c r="J159" s="497"/>
      <c r="K159" s="497"/>
      <c r="L159" s="497"/>
      <c r="M159" s="497"/>
      <c r="N159" s="497"/>
      <c r="O159" s="497"/>
      <c r="P159" s="497"/>
      <c r="Q159" s="497"/>
      <c r="R159" s="497"/>
      <c r="S159" s="497"/>
      <c r="T159" s="497"/>
      <c r="U159" s="497"/>
      <c r="V159" s="497"/>
      <c r="W159" s="497"/>
      <c r="X159" s="497"/>
      <c r="Y159" s="497"/>
      <c r="Z159" s="497"/>
      <c r="AA159" s="497"/>
      <c r="AB159" s="497"/>
      <c r="AC159" s="497"/>
      <c r="AD159" s="497"/>
      <c r="AE159" s="497"/>
      <c r="AF159" s="497"/>
      <c r="AG159" s="497"/>
      <c r="AH159" s="497"/>
      <c r="AI159" s="497"/>
      <c r="AJ159" s="497"/>
      <c r="AK159" s="497"/>
    </row>
    <row r="160" spans="1:37" ht="12">
      <c r="A160" s="497"/>
      <c r="B160" s="497"/>
      <c r="C160" s="497"/>
      <c r="D160" s="497"/>
      <c r="E160" s="497"/>
      <c r="F160" s="497"/>
      <c r="G160" s="497"/>
      <c r="H160" s="497"/>
      <c r="I160" s="497"/>
      <c r="J160" s="497"/>
      <c r="K160" s="497"/>
      <c r="L160" s="497"/>
      <c r="M160" s="497"/>
      <c r="N160" s="497"/>
      <c r="O160" s="497"/>
      <c r="P160" s="497"/>
      <c r="Q160" s="497"/>
      <c r="R160" s="497"/>
      <c r="S160" s="497"/>
      <c r="T160" s="497"/>
      <c r="U160" s="497"/>
      <c r="V160" s="497"/>
      <c r="W160" s="497"/>
      <c r="X160" s="497"/>
      <c r="Y160" s="497"/>
      <c r="Z160" s="497"/>
      <c r="AA160" s="497"/>
      <c r="AB160" s="497"/>
      <c r="AC160" s="497"/>
      <c r="AD160" s="497"/>
      <c r="AE160" s="497"/>
      <c r="AF160" s="497"/>
      <c r="AG160" s="497"/>
      <c r="AH160" s="497"/>
      <c r="AI160" s="497"/>
      <c r="AJ160" s="497"/>
      <c r="AK160" s="497"/>
    </row>
    <row r="161" spans="1:37" ht="12">
      <c r="A161" s="497"/>
      <c r="B161" s="497"/>
      <c r="C161" s="497"/>
      <c r="D161" s="497"/>
      <c r="E161" s="497"/>
      <c r="F161" s="497"/>
      <c r="G161" s="497"/>
      <c r="H161" s="497"/>
      <c r="I161" s="497"/>
      <c r="J161" s="497"/>
      <c r="K161" s="497"/>
      <c r="L161" s="497"/>
      <c r="M161" s="497"/>
      <c r="N161" s="497"/>
      <c r="O161" s="497"/>
      <c r="P161" s="497"/>
      <c r="Q161" s="497"/>
      <c r="R161" s="497"/>
      <c r="S161" s="497"/>
      <c r="T161" s="497"/>
      <c r="U161" s="497"/>
      <c r="V161" s="497"/>
      <c r="W161" s="497"/>
      <c r="X161" s="497"/>
      <c r="Y161" s="497"/>
      <c r="Z161" s="497"/>
      <c r="AA161" s="497"/>
      <c r="AB161" s="497"/>
      <c r="AC161" s="497"/>
      <c r="AD161" s="497"/>
      <c r="AE161" s="497"/>
      <c r="AF161" s="497"/>
      <c r="AG161" s="497"/>
      <c r="AH161" s="497"/>
      <c r="AI161" s="497"/>
      <c r="AJ161" s="497"/>
      <c r="AK161" s="497"/>
    </row>
    <row r="162" spans="1:37" ht="12">
      <c r="A162" s="497"/>
      <c r="B162" s="497"/>
      <c r="C162" s="497"/>
      <c r="D162" s="497"/>
      <c r="E162" s="497"/>
      <c r="F162" s="497"/>
      <c r="G162" s="497"/>
      <c r="H162" s="497"/>
      <c r="I162" s="497"/>
      <c r="J162" s="497"/>
      <c r="K162" s="497"/>
      <c r="L162" s="497"/>
      <c r="M162" s="497"/>
      <c r="N162" s="497"/>
      <c r="O162" s="497"/>
      <c r="P162" s="497"/>
      <c r="Q162" s="497"/>
      <c r="R162" s="497"/>
      <c r="S162" s="497"/>
      <c r="T162" s="497"/>
      <c r="U162" s="497"/>
      <c r="V162" s="497"/>
      <c r="W162" s="497"/>
      <c r="X162" s="497"/>
      <c r="Y162" s="497"/>
      <c r="Z162" s="497"/>
      <c r="AA162" s="497"/>
      <c r="AB162" s="497"/>
      <c r="AC162" s="497"/>
      <c r="AD162" s="497"/>
      <c r="AE162" s="497"/>
      <c r="AF162" s="497"/>
      <c r="AG162" s="497"/>
      <c r="AH162" s="497"/>
      <c r="AI162" s="497"/>
      <c r="AJ162" s="497"/>
      <c r="AK162" s="497"/>
    </row>
    <row r="163" spans="1:37" ht="12">
      <c r="A163" s="497"/>
      <c r="B163" s="497"/>
      <c r="C163" s="497"/>
      <c r="D163" s="497"/>
      <c r="E163" s="497"/>
      <c r="F163" s="497"/>
      <c r="G163" s="497"/>
      <c r="H163" s="497"/>
      <c r="I163" s="497"/>
      <c r="J163" s="497"/>
      <c r="K163" s="497"/>
      <c r="L163" s="497"/>
      <c r="M163" s="497"/>
      <c r="N163" s="497"/>
      <c r="O163" s="497"/>
      <c r="P163" s="497"/>
      <c r="Q163" s="497"/>
      <c r="R163" s="497"/>
      <c r="S163" s="497"/>
      <c r="T163" s="497"/>
      <c r="U163" s="497"/>
      <c r="V163" s="497"/>
      <c r="W163" s="497"/>
      <c r="X163" s="497"/>
      <c r="Y163" s="497"/>
      <c r="Z163" s="497"/>
      <c r="AA163" s="497"/>
      <c r="AB163" s="497"/>
      <c r="AC163" s="497"/>
      <c r="AD163" s="497"/>
      <c r="AE163" s="497"/>
      <c r="AF163" s="497"/>
      <c r="AG163" s="497"/>
      <c r="AH163" s="497"/>
      <c r="AI163" s="497"/>
      <c r="AJ163" s="497"/>
      <c r="AK163" s="497"/>
    </row>
    <row r="164" spans="1:37" ht="12">
      <c r="A164" s="497"/>
      <c r="B164" s="497"/>
      <c r="C164" s="497"/>
      <c r="D164" s="497"/>
      <c r="E164" s="497"/>
      <c r="F164" s="497"/>
      <c r="G164" s="497"/>
      <c r="H164" s="497"/>
      <c r="I164" s="497"/>
      <c r="J164" s="497"/>
      <c r="K164" s="497"/>
      <c r="L164" s="497"/>
      <c r="M164" s="497"/>
      <c r="N164" s="497"/>
      <c r="O164" s="497"/>
      <c r="P164" s="497"/>
      <c r="Q164" s="497"/>
      <c r="R164" s="497"/>
      <c r="S164" s="497"/>
      <c r="T164" s="497"/>
      <c r="U164" s="497"/>
      <c r="V164" s="497"/>
      <c r="W164" s="497"/>
      <c r="X164" s="497"/>
      <c r="Y164" s="497"/>
      <c r="Z164" s="497"/>
      <c r="AA164" s="497"/>
      <c r="AB164" s="497"/>
      <c r="AC164" s="497"/>
      <c r="AD164" s="497"/>
      <c r="AE164" s="497"/>
      <c r="AF164" s="497"/>
      <c r="AG164" s="497"/>
      <c r="AH164" s="497"/>
      <c r="AI164" s="497"/>
      <c r="AJ164" s="497"/>
      <c r="AK164" s="497"/>
    </row>
    <row r="165" spans="1:37" ht="12">
      <c r="A165" s="497"/>
      <c r="B165" s="497"/>
      <c r="C165" s="497"/>
      <c r="D165" s="497"/>
      <c r="E165" s="497"/>
      <c r="F165" s="497"/>
      <c r="G165" s="497"/>
      <c r="H165" s="497"/>
      <c r="I165" s="497"/>
      <c r="J165" s="497"/>
      <c r="K165" s="497"/>
      <c r="L165" s="497"/>
      <c r="M165" s="497"/>
      <c r="N165" s="497"/>
      <c r="O165" s="497"/>
      <c r="P165" s="497"/>
      <c r="Q165" s="497"/>
      <c r="R165" s="497"/>
      <c r="S165" s="497"/>
      <c r="T165" s="497"/>
      <c r="U165" s="497"/>
      <c r="V165" s="497"/>
      <c r="W165" s="497"/>
      <c r="X165" s="497"/>
      <c r="Y165" s="497"/>
      <c r="Z165" s="497"/>
      <c r="AA165" s="497"/>
      <c r="AB165" s="497"/>
      <c r="AC165" s="497"/>
      <c r="AD165" s="497"/>
      <c r="AE165" s="497"/>
      <c r="AF165" s="497"/>
      <c r="AG165" s="497"/>
      <c r="AH165" s="497"/>
      <c r="AI165" s="497"/>
      <c r="AJ165" s="497"/>
      <c r="AK165" s="497"/>
    </row>
    <row r="166" spans="1:37" ht="12">
      <c r="A166" s="497"/>
      <c r="B166" s="497"/>
      <c r="C166" s="497"/>
      <c r="D166" s="497"/>
      <c r="E166" s="497"/>
      <c r="F166" s="497"/>
      <c r="G166" s="497"/>
      <c r="H166" s="497"/>
      <c r="I166" s="497"/>
      <c r="J166" s="497"/>
      <c r="K166" s="497"/>
      <c r="L166" s="497"/>
      <c r="M166" s="497"/>
      <c r="N166" s="497"/>
      <c r="O166" s="497"/>
      <c r="P166" s="497"/>
      <c r="Q166" s="497"/>
      <c r="R166" s="497"/>
      <c r="S166" s="497"/>
      <c r="T166" s="497"/>
      <c r="U166" s="497"/>
      <c r="V166" s="497"/>
      <c r="W166" s="497"/>
      <c r="X166" s="497"/>
      <c r="Y166" s="497"/>
      <c r="Z166" s="497"/>
      <c r="AA166" s="497"/>
      <c r="AB166" s="497"/>
      <c r="AC166" s="497"/>
      <c r="AD166" s="497"/>
      <c r="AE166" s="497"/>
      <c r="AF166" s="497"/>
      <c r="AG166" s="497"/>
      <c r="AH166" s="497"/>
      <c r="AI166" s="497"/>
      <c r="AJ166" s="497"/>
      <c r="AK166" s="497"/>
    </row>
    <row r="167" spans="1:37" ht="12">
      <c r="A167" s="497"/>
      <c r="B167" s="497"/>
      <c r="C167" s="497"/>
      <c r="D167" s="497"/>
      <c r="E167" s="497"/>
      <c r="F167" s="497"/>
      <c r="G167" s="497"/>
      <c r="H167" s="497"/>
      <c r="I167" s="497"/>
      <c r="J167" s="497"/>
      <c r="K167" s="497"/>
      <c r="L167" s="497"/>
      <c r="M167" s="497"/>
      <c r="N167" s="497"/>
      <c r="O167" s="497"/>
      <c r="P167" s="497"/>
      <c r="Q167" s="497"/>
      <c r="R167" s="497"/>
      <c r="S167" s="497"/>
      <c r="T167" s="497"/>
      <c r="U167" s="497"/>
      <c r="V167" s="497"/>
      <c r="W167" s="497"/>
      <c r="X167" s="497"/>
      <c r="Y167" s="497"/>
      <c r="Z167" s="497"/>
      <c r="AA167" s="497"/>
      <c r="AB167" s="497"/>
      <c r="AC167" s="497"/>
      <c r="AD167" s="497"/>
      <c r="AE167" s="497"/>
      <c r="AF167" s="497"/>
      <c r="AG167" s="497"/>
      <c r="AH167" s="497"/>
      <c r="AI167" s="497"/>
      <c r="AJ167" s="497"/>
      <c r="AK167" s="497"/>
    </row>
    <row r="168" spans="1:37" ht="12">
      <c r="A168" s="497"/>
      <c r="B168" s="497"/>
      <c r="C168" s="497"/>
      <c r="D168" s="497"/>
      <c r="E168" s="497"/>
      <c r="F168" s="497"/>
      <c r="G168" s="497"/>
      <c r="H168" s="497"/>
      <c r="I168" s="497"/>
      <c r="J168" s="497"/>
      <c r="K168" s="497"/>
      <c r="L168" s="497"/>
      <c r="M168" s="497"/>
      <c r="N168" s="497"/>
      <c r="O168" s="497"/>
      <c r="P168" s="497"/>
      <c r="Q168" s="497"/>
      <c r="R168" s="497"/>
      <c r="S168" s="497"/>
      <c r="T168" s="497"/>
      <c r="U168" s="497"/>
      <c r="V168" s="497"/>
      <c r="W168" s="497"/>
      <c r="X168" s="497"/>
      <c r="Y168" s="497"/>
      <c r="Z168" s="497"/>
      <c r="AA168" s="497"/>
      <c r="AB168" s="497"/>
      <c r="AC168" s="497"/>
      <c r="AD168" s="497"/>
      <c r="AE168" s="497"/>
      <c r="AF168" s="497"/>
      <c r="AG168" s="497"/>
      <c r="AH168" s="497"/>
      <c r="AI168" s="497"/>
      <c r="AJ168" s="497"/>
      <c r="AK168" s="497"/>
    </row>
    <row r="169" spans="1:37" ht="12">
      <c r="A169" s="497"/>
      <c r="B169" s="497"/>
      <c r="C169" s="497"/>
      <c r="D169" s="497"/>
      <c r="E169" s="497"/>
      <c r="F169" s="497"/>
      <c r="G169" s="497"/>
      <c r="H169" s="497"/>
      <c r="I169" s="497"/>
      <c r="J169" s="497"/>
      <c r="K169" s="497"/>
      <c r="L169" s="497"/>
      <c r="M169" s="497"/>
      <c r="N169" s="497"/>
      <c r="O169" s="497"/>
      <c r="P169" s="497"/>
      <c r="Q169" s="497"/>
      <c r="R169" s="497"/>
      <c r="S169" s="497"/>
      <c r="T169" s="497"/>
      <c r="U169" s="497"/>
      <c r="V169" s="497"/>
      <c r="W169" s="497"/>
      <c r="X169" s="497"/>
      <c r="Y169" s="497"/>
      <c r="Z169" s="497"/>
      <c r="AA169" s="497"/>
      <c r="AB169" s="497"/>
      <c r="AC169" s="497"/>
      <c r="AD169" s="497"/>
      <c r="AE169" s="497"/>
      <c r="AF169" s="497"/>
      <c r="AG169" s="497"/>
      <c r="AH169" s="497"/>
      <c r="AI169" s="497"/>
      <c r="AJ169" s="497"/>
      <c r="AK169" s="497"/>
    </row>
    <row r="170" spans="1:37" ht="12">
      <c r="A170" s="497"/>
      <c r="B170" s="497"/>
      <c r="C170" s="497"/>
      <c r="D170" s="497"/>
      <c r="E170" s="497"/>
      <c r="F170" s="497"/>
      <c r="G170" s="497"/>
      <c r="H170" s="497"/>
      <c r="I170" s="497"/>
      <c r="J170" s="497"/>
      <c r="K170" s="497"/>
      <c r="L170" s="497"/>
      <c r="M170" s="497"/>
      <c r="N170" s="497"/>
      <c r="O170" s="497"/>
      <c r="P170" s="497"/>
      <c r="Q170" s="497"/>
      <c r="R170" s="497"/>
      <c r="S170" s="497"/>
      <c r="T170" s="497"/>
      <c r="U170" s="497"/>
      <c r="V170" s="497"/>
      <c r="W170" s="497"/>
      <c r="X170" s="497"/>
      <c r="Y170" s="497"/>
      <c r="Z170" s="497"/>
      <c r="AA170" s="497"/>
      <c r="AB170" s="497"/>
      <c r="AC170" s="497"/>
      <c r="AD170" s="497"/>
      <c r="AE170" s="497"/>
      <c r="AF170" s="497"/>
      <c r="AG170" s="497"/>
      <c r="AH170" s="497"/>
      <c r="AI170" s="497"/>
      <c r="AJ170" s="497"/>
      <c r="AK170" s="497"/>
    </row>
    <row r="171" spans="1:37" ht="12">
      <c r="A171" s="497"/>
      <c r="B171" s="497"/>
      <c r="C171" s="497"/>
      <c r="D171" s="497"/>
      <c r="E171" s="497"/>
      <c r="F171" s="497"/>
      <c r="G171" s="497"/>
      <c r="H171" s="497"/>
      <c r="I171" s="497"/>
      <c r="J171" s="497"/>
      <c r="K171" s="497"/>
      <c r="L171" s="497"/>
      <c r="M171" s="497"/>
      <c r="N171" s="497"/>
      <c r="O171" s="497"/>
      <c r="P171" s="497"/>
      <c r="Q171" s="497"/>
      <c r="R171" s="497"/>
      <c r="S171" s="497"/>
      <c r="T171" s="497"/>
      <c r="U171" s="497"/>
      <c r="V171" s="497"/>
      <c r="W171" s="497"/>
      <c r="X171" s="497"/>
      <c r="Y171" s="497"/>
      <c r="Z171" s="497"/>
      <c r="AA171" s="497"/>
      <c r="AB171" s="497"/>
      <c r="AC171" s="497"/>
      <c r="AD171" s="497"/>
      <c r="AE171" s="497"/>
      <c r="AF171" s="497"/>
      <c r="AG171" s="497"/>
      <c r="AH171" s="497"/>
      <c r="AI171" s="497"/>
      <c r="AJ171" s="497"/>
      <c r="AK171" s="497"/>
    </row>
    <row r="172" spans="1:37" ht="12">
      <c r="A172" s="497"/>
      <c r="B172" s="497"/>
      <c r="C172" s="497"/>
      <c r="D172" s="497"/>
      <c r="E172" s="497"/>
      <c r="F172" s="497"/>
      <c r="G172" s="497"/>
      <c r="H172" s="497"/>
      <c r="I172" s="497"/>
      <c r="J172" s="497"/>
      <c r="K172" s="497"/>
      <c r="L172" s="497"/>
      <c r="M172" s="497"/>
      <c r="N172" s="497"/>
      <c r="O172" s="497"/>
      <c r="P172" s="497"/>
      <c r="Q172" s="497"/>
      <c r="R172" s="497"/>
      <c r="S172" s="497"/>
      <c r="T172" s="497"/>
      <c r="U172" s="497"/>
      <c r="V172" s="497"/>
      <c r="W172" s="497"/>
      <c r="X172" s="497"/>
      <c r="Y172" s="497"/>
      <c r="Z172" s="497"/>
      <c r="AA172" s="497"/>
      <c r="AB172" s="497"/>
      <c r="AC172" s="497"/>
      <c r="AD172" s="497"/>
      <c r="AE172" s="497"/>
      <c r="AF172" s="497"/>
      <c r="AG172" s="497"/>
      <c r="AH172" s="497"/>
      <c r="AI172" s="497"/>
      <c r="AJ172" s="497"/>
      <c r="AK172" s="497"/>
    </row>
    <row r="173" spans="1:37" ht="12">
      <c r="A173" s="497"/>
      <c r="B173" s="497"/>
      <c r="C173" s="497"/>
      <c r="D173" s="497"/>
      <c r="E173" s="497"/>
      <c r="F173" s="497"/>
      <c r="G173" s="497"/>
      <c r="H173" s="497"/>
      <c r="I173" s="497"/>
      <c r="J173" s="497"/>
      <c r="K173" s="497"/>
      <c r="L173" s="497"/>
      <c r="M173" s="497"/>
      <c r="N173" s="497"/>
      <c r="O173" s="497"/>
      <c r="P173" s="497"/>
      <c r="Q173" s="497"/>
      <c r="R173" s="497"/>
      <c r="S173" s="497"/>
      <c r="T173" s="497"/>
      <c r="U173" s="497"/>
      <c r="V173" s="497"/>
      <c r="W173" s="497"/>
      <c r="X173" s="497"/>
      <c r="Y173" s="497"/>
      <c r="Z173" s="497"/>
      <c r="AA173" s="497"/>
      <c r="AB173" s="497"/>
      <c r="AC173" s="497"/>
      <c r="AD173" s="497"/>
      <c r="AE173" s="497"/>
      <c r="AF173" s="497"/>
      <c r="AG173" s="497"/>
      <c r="AH173" s="497"/>
      <c r="AI173" s="497"/>
      <c r="AJ173" s="497"/>
      <c r="AK173" s="497"/>
    </row>
    <row r="174" spans="1:37" ht="12">
      <c r="A174" s="497"/>
      <c r="B174" s="497"/>
      <c r="C174" s="497"/>
      <c r="D174" s="497"/>
      <c r="E174" s="497"/>
      <c r="F174" s="497"/>
      <c r="G174" s="497"/>
      <c r="H174" s="497"/>
      <c r="I174" s="497"/>
      <c r="J174" s="497"/>
      <c r="K174" s="497"/>
      <c r="L174" s="497"/>
      <c r="M174" s="497"/>
      <c r="N174" s="497"/>
      <c r="O174" s="497"/>
      <c r="P174" s="497"/>
      <c r="Q174" s="497"/>
      <c r="R174" s="497"/>
      <c r="S174" s="497"/>
      <c r="T174" s="497"/>
      <c r="U174" s="497"/>
      <c r="V174" s="497"/>
      <c r="W174" s="497"/>
      <c r="X174" s="497"/>
      <c r="Y174" s="497"/>
      <c r="Z174" s="497"/>
      <c r="AA174" s="497"/>
      <c r="AB174" s="497"/>
      <c r="AC174" s="497"/>
      <c r="AD174" s="497"/>
      <c r="AE174" s="497"/>
      <c r="AF174" s="497"/>
      <c r="AG174" s="497"/>
      <c r="AH174" s="497"/>
      <c r="AI174" s="497"/>
      <c r="AJ174" s="497"/>
      <c r="AK174" s="497"/>
    </row>
    <row r="175" spans="1:37" ht="12">
      <c r="A175" s="497"/>
      <c r="B175" s="497"/>
      <c r="C175" s="497"/>
      <c r="D175" s="497"/>
      <c r="E175" s="497"/>
      <c r="F175" s="497"/>
      <c r="G175" s="497"/>
      <c r="H175" s="497"/>
      <c r="I175" s="497"/>
      <c r="J175" s="497"/>
      <c r="K175" s="497"/>
      <c r="L175" s="497"/>
      <c r="M175" s="497"/>
      <c r="N175" s="497"/>
      <c r="O175" s="497"/>
      <c r="P175" s="497"/>
      <c r="Q175" s="497"/>
      <c r="R175" s="497"/>
      <c r="S175" s="497"/>
      <c r="T175" s="497"/>
      <c r="U175" s="497"/>
      <c r="V175" s="497"/>
      <c r="W175" s="497"/>
      <c r="X175" s="497"/>
      <c r="Y175" s="497"/>
      <c r="Z175" s="497"/>
      <c r="AA175" s="497"/>
      <c r="AB175" s="497"/>
      <c r="AC175" s="497"/>
      <c r="AD175" s="497"/>
      <c r="AE175" s="497"/>
      <c r="AF175" s="497"/>
      <c r="AG175" s="497"/>
      <c r="AH175" s="497"/>
      <c r="AI175" s="497"/>
      <c r="AJ175" s="497"/>
      <c r="AK175" s="497"/>
    </row>
    <row r="176" spans="1:37" ht="12">
      <c r="A176" s="497"/>
      <c r="B176" s="497"/>
      <c r="C176" s="497"/>
      <c r="D176" s="497"/>
      <c r="E176" s="497"/>
      <c r="F176" s="497"/>
      <c r="G176" s="497"/>
      <c r="H176" s="497"/>
      <c r="I176" s="497"/>
      <c r="J176" s="497"/>
      <c r="K176" s="497"/>
      <c r="L176" s="497"/>
      <c r="M176" s="497"/>
      <c r="N176" s="497"/>
      <c r="O176" s="497"/>
      <c r="P176" s="497"/>
      <c r="Q176" s="497"/>
      <c r="R176" s="497"/>
      <c r="S176" s="497"/>
      <c r="T176" s="497"/>
      <c r="U176" s="497"/>
      <c r="V176" s="497"/>
      <c r="W176" s="497"/>
      <c r="X176" s="497"/>
      <c r="Y176" s="497"/>
      <c r="Z176" s="497"/>
      <c r="AA176" s="497"/>
      <c r="AB176" s="497"/>
      <c r="AC176" s="497"/>
      <c r="AD176" s="497"/>
      <c r="AE176" s="497"/>
      <c r="AF176" s="497"/>
      <c r="AG176" s="497"/>
      <c r="AH176" s="497"/>
      <c r="AI176" s="497"/>
      <c r="AJ176" s="497"/>
      <c r="AK176" s="497"/>
    </row>
    <row r="177" spans="1:37" ht="12">
      <c r="A177" s="497"/>
      <c r="B177" s="497"/>
      <c r="C177" s="497"/>
      <c r="D177" s="497"/>
      <c r="E177" s="497"/>
      <c r="F177" s="497"/>
      <c r="G177" s="497"/>
      <c r="H177" s="497"/>
      <c r="I177" s="497"/>
      <c r="J177" s="497"/>
      <c r="K177" s="497"/>
      <c r="L177" s="497"/>
      <c r="M177" s="497"/>
      <c r="N177" s="497"/>
      <c r="O177" s="497"/>
      <c r="P177" s="497"/>
      <c r="Q177" s="497"/>
      <c r="R177" s="497"/>
      <c r="S177" s="497"/>
      <c r="T177" s="497"/>
      <c r="U177" s="497"/>
      <c r="V177" s="497"/>
      <c r="W177" s="497"/>
      <c r="X177" s="497"/>
      <c r="Y177" s="497"/>
      <c r="Z177" s="497"/>
      <c r="AA177" s="497"/>
      <c r="AB177" s="497"/>
      <c r="AC177" s="497"/>
      <c r="AD177" s="497"/>
      <c r="AE177" s="497"/>
      <c r="AF177" s="497"/>
      <c r="AG177" s="497"/>
      <c r="AH177" s="497"/>
      <c r="AI177" s="497"/>
      <c r="AJ177" s="497"/>
      <c r="AK177" s="497"/>
    </row>
    <row r="178" spans="1:37" ht="12">
      <c r="A178" s="497"/>
      <c r="B178" s="497"/>
      <c r="C178" s="497"/>
      <c r="D178" s="497"/>
      <c r="E178" s="497"/>
      <c r="F178" s="497"/>
      <c r="G178" s="497"/>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row>
    <row r="179" spans="1:37" ht="12">
      <c r="A179" s="497"/>
      <c r="B179" s="497"/>
      <c r="C179" s="497"/>
      <c r="D179" s="497"/>
      <c r="E179" s="497"/>
      <c r="F179" s="497"/>
      <c r="G179" s="497"/>
      <c r="H179" s="497"/>
      <c r="I179" s="497"/>
      <c r="J179" s="497"/>
      <c r="K179" s="497"/>
      <c r="L179" s="497"/>
      <c r="M179" s="497"/>
      <c r="N179" s="497"/>
      <c r="O179" s="497"/>
      <c r="P179" s="497"/>
      <c r="Q179" s="497"/>
      <c r="R179" s="497"/>
      <c r="S179" s="497"/>
      <c r="T179" s="497"/>
      <c r="U179" s="497"/>
      <c r="V179" s="497"/>
      <c r="W179" s="497"/>
      <c r="X179" s="497"/>
      <c r="Y179" s="497"/>
      <c r="Z179" s="497"/>
      <c r="AA179" s="497"/>
      <c r="AB179" s="497"/>
      <c r="AC179" s="497"/>
      <c r="AD179" s="497"/>
      <c r="AE179" s="497"/>
      <c r="AF179" s="497"/>
      <c r="AG179" s="497"/>
      <c r="AH179" s="497"/>
      <c r="AI179" s="497"/>
      <c r="AJ179" s="497"/>
      <c r="AK179" s="497"/>
    </row>
    <row r="180" spans="1:37" ht="12">
      <c r="A180" s="497"/>
      <c r="B180" s="497"/>
      <c r="C180" s="497"/>
      <c r="D180" s="497"/>
      <c r="E180" s="497"/>
      <c r="F180" s="497"/>
      <c r="G180" s="497"/>
      <c r="H180" s="497"/>
      <c r="I180" s="497"/>
      <c r="J180" s="497"/>
      <c r="K180" s="497"/>
      <c r="L180" s="497"/>
      <c r="M180" s="497"/>
      <c r="N180" s="497"/>
      <c r="O180" s="497"/>
      <c r="P180" s="497"/>
      <c r="Q180" s="497"/>
      <c r="R180" s="497"/>
      <c r="S180" s="497"/>
      <c r="T180" s="497"/>
      <c r="U180" s="497"/>
      <c r="V180" s="497"/>
      <c r="W180" s="497"/>
      <c r="X180" s="497"/>
      <c r="Y180" s="497"/>
      <c r="Z180" s="497"/>
      <c r="AA180" s="497"/>
      <c r="AB180" s="497"/>
      <c r="AC180" s="497"/>
      <c r="AD180" s="497"/>
      <c r="AE180" s="497"/>
      <c r="AF180" s="497"/>
      <c r="AG180" s="497"/>
      <c r="AH180" s="497"/>
      <c r="AI180" s="497"/>
      <c r="AJ180" s="497"/>
      <c r="AK180" s="497"/>
    </row>
    <row r="181" spans="1:37" ht="12">
      <c r="A181" s="497"/>
      <c r="B181" s="497"/>
      <c r="C181" s="497"/>
      <c r="D181" s="497"/>
      <c r="E181" s="497"/>
      <c r="F181" s="497"/>
      <c r="G181" s="497"/>
      <c r="H181" s="497"/>
      <c r="I181" s="497"/>
      <c r="J181" s="497"/>
      <c r="K181" s="497"/>
      <c r="L181" s="497"/>
      <c r="M181" s="497"/>
      <c r="N181" s="497"/>
      <c r="O181" s="497"/>
      <c r="P181" s="497"/>
      <c r="Q181" s="497"/>
      <c r="R181" s="497"/>
      <c r="S181" s="497"/>
      <c r="T181" s="497"/>
      <c r="U181" s="497"/>
      <c r="V181" s="497"/>
      <c r="W181" s="497"/>
      <c r="X181" s="497"/>
      <c r="Y181" s="497"/>
      <c r="Z181" s="497"/>
      <c r="AA181" s="497"/>
      <c r="AB181" s="497"/>
      <c r="AC181" s="497"/>
      <c r="AD181" s="497"/>
      <c r="AE181" s="497"/>
      <c r="AF181" s="497"/>
      <c r="AG181" s="497"/>
      <c r="AH181" s="497"/>
      <c r="AI181" s="497"/>
      <c r="AJ181" s="497"/>
      <c r="AK181" s="497"/>
    </row>
    <row r="182" spans="1:37" ht="12">
      <c r="A182" s="497"/>
      <c r="B182" s="497"/>
      <c r="C182" s="497"/>
      <c r="D182" s="497"/>
      <c r="E182" s="497"/>
      <c r="F182" s="497"/>
      <c r="G182" s="497"/>
      <c r="H182" s="497"/>
      <c r="I182" s="497"/>
      <c r="J182" s="497"/>
      <c r="K182" s="497"/>
      <c r="L182" s="497"/>
      <c r="M182" s="497"/>
      <c r="N182" s="497"/>
      <c r="O182" s="497"/>
      <c r="P182" s="497"/>
      <c r="Q182" s="497"/>
      <c r="R182" s="497"/>
      <c r="S182" s="497"/>
      <c r="T182" s="497"/>
      <c r="U182" s="497"/>
      <c r="V182" s="497"/>
      <c r="W182" s="497"/>
      <c r="X182" s="497"/>
      <c r="Y182" s="497"/>
      <c r="Z182" s="497"/>
      <c r="AA182" s="497"/>
      <c r="AB182" s="497"/>
      <c r="AC182" s="497"/>
      <c r="AD182" s="497"/>
      <c r="AE182" s="497"/>
      <c r="AF182" s="497"/>
      <c r="AG182" s="497"/>
      <c r="AH182" s="497"/>
      <c r="AI182" s="497"/>
      <c r="AJ182" s="497"/>
      <c r="AK182" s="497"/>
    </row>
    <row r="183" spans="1:37" ht="12">
      <c r="A183" s="497"/>
      <c r="B183" s="497"/>
      <c r="C183" s="497"/>
      <c r="D183" s="497"/>
      <c r="E183" s="497"/>
      <c r="F183" s="497"/>
      <c r="G183" s="497"/>
      <c r="H183" s="497"/>
      <c r="I183" s="497"/>
      <c r="J183" s="497"/>
      <c r="K183" s="497"/>
      <c r="L183" s="497"/>
      <c r="M183" s="497"/>
      <c r="N183" s="497"/>
      <c r="O183" s="497"/>
      <c r="P183" s="497"/>
      <c r="Q183" s="497"/>
      <c r="R183" s="497"/>
      <c r="S183" s="497"/>
      <c r="T183" s="497"/>
      <c r="U183" s="497"/>
      <c r="V183" s="497"/>
      <c r="W183" s="497"/>
      <c r="X183" s="497"/>
      <c r="Y183" s="497"/>
      <c r="Z183" s="497"/>
      <c r="AA183" s="497"/>
      <c r="AB183" s="497"/>
      <c r="AC183" s="497"/>
      <c r="AD183" s="497"/>
      <c r="AE183" s="497"/>
      <c r="AF183" s="497"/>
      <c r="AG183" s="497"/>
      <c r="AH183" s="497"/>
      <c r="AI183" s="497"/>
      <c r="AJ183" s="497"/>
      <c r="AK183" s="497"/>
    </row>
    <row r="184" spans="1:37" ht="12">
      <c r="A184" s="497"/>
      <c r="B184" s="497"/>
      <c r="C184" s="497"/>
      <c r="D184" s="497"/>
      <c r="E184" s="497"/>
      <c r="F184" s="497"/>
      <c r="G184" s="497"/>
      <c r="H184" s="497"/>
      <c r="I184" s="497"/>
      <c r="J184" s="497"/>
      <c r="K184" s="497"/>
      <c r="L184" s="497"/>
      <c r="M184" s="497"/>
      <c r="N184" s="497"/>
      <c r="O184" s="497"/>
      <c r="P184" s="497"/>
      <c r="Q184" s="497"/>
      <c r="R184" s="497"/>
      <c r="S184" s="497"/>
      <c r="T184" s="497"/>
      <c r="U184" s="497"/>
      <c r="V184" s="497"/>
      <c r="W184" s="497"/>
      <c r="X184" s="497"/>
      <c r="Y184" s="497"/>
      <c r="Z184" s="497"/>
      <c r="AA184" s="497"/>
      <c r="AB184" s="497"/>
      <c r="AC184" s="497"/>
      <c r="AD184" s="497"/>
      <c r="AE184" s="497"/>
      <c r="AF184" s="497"/>
      <c r="AG184" s="497"/>
      <c r="AH184" s="497"/>
      <c r="AI184" s="497"/>
      <c r="AJ184" s="497"/>
      <c r="AK184" s="497"/>
    </row>
    <row r="185" spans="1:37" ht="12">
      <c r="A185" s="497"/>
      <c r="B185" s="497"/>
      <c r="C185" s="497"/>
      <c r="D185" s="497"/>
      <c r="E185" s="497"/>
      <c r="F185" s="497"/>
      <c r="G185" s="497"/>
      <c r="H185" s="497"/>
      <c r="I185" s="497"/>
      <c r="J185" s="497"/>
      <c r="K185" s="497"/>
      <c r="L185" s="497"/>
      <c r="M185" s="497"/>
      <c r="N185" s="497"/>
      <c r="O185" s="497"/>
      <c r="P185" s="497"/>
      <c r="Q185" s="497"/>
      <c r="R185" s="497"/>
      <c r="S185" s="497"/>
      <c r="T185" s="497"/>
      <c r="U185" s="497"/>
      <c r="V185" s="497"/>
      <c r="W185" s="497"/>
      <c r="X185" s="497"/>
      <c r="Y185" s="497"/>
      <c r="Z185" s="497"/>
      <c r="AA185" s="497"/>
      <c r="AB185" s="497"/>
      <c r="AC185" s="497"/>
      <c r="AD185" s="497"/>
      <c r="AE185" s="497"/>
      <c r="AF185" s="497"/>
      <c r="AG185" s="497"/>
      <c r="AH185" s="497"/>
      <c r="AI185" s="497"/>
      <c r="AJ185" s="497"/>
      <c r="AK185" s="497"/>
    </row>
    <row r="186" spans="1:37" ht="12">
      <c r="A186" s="497"/>
      <c r="B186" s="497"/>
      <c r="C186" s="497"/>
      <c r="D186" s="497"/>
      <c r="E186" s="497"/>
      <c r="F186" s="497"/>
      <c r="G186" s="497"/>
      <c r="H186" s="497"/>
      <c r="I186" s="497"/>
      <c r="J186" s="497"/>
      <c r="K186" s="497"/>
      <c r="L186" s="497"/>
      <c r="M186" s="497"/>
      <c r="N186" s="497"/>
      <c r="O186" s="497"/>
      <c r="P186" s="497"/>
      <c r="Q186" s="497"/>
      <c r="R186" s="497"/>
      <c r="S186" s="497"/>
      <c r="T186" s="497"/>
      <c r="U186" s="497"/>
      <c r="V186" s="497"/>
      <c r="W186" s="497"/>
      <c r="X186" s="497"/>
      <c r="Y186" s="497"/>
      <c r="Z186" s="497"/>
      <c r="AA186" s="497"/>
      <c r="AB186" s="497"/>
      <c r="AC186" s="497"/>
      <c r="AD186" s="497"/>
      <c r="AE186" s="497"/>
      <c r="AF186" s="497"/>
      <c r="AG186" s="497"/>
      <c r="AH186" s="497"/>
      <c r="AI186" s="497"/>
      <c r="AJ186" s="497"/>
      <c r="AK186" s="497"/>
    </row>
    <row r="187" spans="1:37" ht="12">
      <c r="A187" s="497"/>
      <c r="B187" s="497"/>
      <c r="C187" s="497"/>
      <c r="D187" s="497"/>
      <c r="E187" s="497"/>
      <c r="F187" s="497"/>
      <c r="G187" s="497"/>
      <c r="H187" s="497"/>
      <c r="I187" s="497"/>
      <c r="J187" s="497"/>
      <c r="K187" s="497"/>
      <c r="L187" s="497"/>
      <c r="M187" s="497"/>
      <c r="N187" s="497"/>
      <c r="O187" s="497"/>
      <c r="P187" s="497"/>
      <c r="Q187" s="497"/>
      <c r="R187" s="497"/>
      <c r="S187" s="497"/>
      <c r="T187" s="497"/>
      <c r="U187" s="497"/>
      <c r="V187" s="497"/>
      <c r="W187" s="497"/>
      <c r="X187" s="497"/>
      <c r="Y187" s="497"/>
      <c r="Z187" s="497"/>
      <c r="AA187" s="497"/>
      <c r="AB187" s="497"/>
      <c r="AC187" s="497"/>
      <c r="AD187" s="497"/>
      <c r="AE187" s="497"/>
      <c r="AF187" s="497"/>
      <c r="AG187" s="497"/>
      <c r="AH187" s="497"/>
      <c r="AI187" s="497"/>
      <c r="AJ187" s="497"/>
      <c r="AK187" s="497"/>
    </row>
    <row r="188" spans="1:37" ht="12">
      <c r="A188" s="497"/>
      <c r="B188" s="497"/>
      <c r="C188" s="497"/>
      <c r="D188" s="497"/>
      <c r="E188" s="497"/>
      <c r="F188" s="497"/>
      <c r="G188" s="497"/>
      <c r="H188" s="497"/>
      <c r="I188" s="497"/>
      <c r="J188" s="497"/>
      <c r="K188" s="497"/>
      <c r="L188" s="497"/>
      <c r="M188" s="497"/>
      <c r="N188" s="497"/>
      <c r="O188" s="497"/>
      <c r="P188" s="497"/>
      <c r="Q188" s="497"/>
      <c r="R188" s="497"/>
      <c r="S188" s="497"/>
      <c r="T188" s="497"/>
      <c r="U188" s="497"/>
      <c r="V188" s="497"/>
      <c r="W188" s="497"/>
      <c r="X188" s="497"/>
      <c r="Y188" s="497"/>
      <c r="Z188" s="497"/>
      <c r="AA188" s="497"/>
      <c r="AB188" s="497"/>
      <c r="AC188" s="497"/>
      <c r="AD188" s="497"/>
      <c r="AE188" s="497"/>
      <c r="AF188" s="497"/>
      <c r="AG188" s="497"/>
      <c r="AH188" s="497"/>
      <c r="AI188" s="497"/>
      <c r="AJ188" s="497"/>
      <c r="AK188" s="497"/>
    </row>
    <row r="189" spans="1:37" ht="12">
      <c r="A189" s="497"/>
      <c r="B189" s="497"/>
      <c r="C189" s="497"/>
      <c r="D189" s="497"/>
      <c r="E189" s="497"/>
      <c r="F189" s="497"/>
      <c r="G189" s="497"/>
      <c r="H189" s="497"/>
      <c r="I189" s="497"/>
      <c r="J189" s="497"/>
      <c r="K189" s="497"/>
      <c r="L189" s="497"/>
      <c r="M189" s="497"/>
      <c r="N189" s="497"/>
      <c r="O189" s="497"/>
      <c r="P189" s="497"/>
      <c r="Q189" s="497"/>
      <c r="R189" s="497"/>
      <c r="S189" s="497"/>
      <c r="T189" s="497"/>
      <c r="U189" s="497"/>
      <c r="V189" s="497"/>
      <c r="W189" s="497"/>
      <c r="X189" s="497"/>
      <c r="Y189" s="497"/>
      <c r="Z189" s="497"/>
      <c r="AA189" s="497"/>
      <c r="AB189" s="497"/>
      <c r="AC189" s="497"/>
      <c r="AD189" s="497"/>
      <c r="AE189" s="497"/>
      <c r="AF189" s="497"/>
      <c r="AG189" s="497"/>
      <c r="AH189" s="497"/>
      <c r="AI189" s="497"/>
      <c r="AJ189" s="497"/>
      <c r="AK189" s="497"/>
    </row>
  </sheetData>
  <sheetProtection/>
  <printOptions/>
  <pageMargins left="0.75" right="0.75" top="1" bottom="1" header="0.5" footer="0.5"/>
  <pageSetup horizontalDpi="180" verticalDpi="180" orientation="landscape" paperSize="9" scale="91"/>
  <rowBreaks count="1" manualBreakCount="1">
    <brk id="35" max="28"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PARCELLA</dc:title>
  <dc:subject>Ordine Architetti</dc:subject>
  <dc:creator>Commissione Parcelle</dc:creator>
  <cp:keywords/>
  <dc:description/>
  <cp:lastModifiedBy>USER 2004</cp:lastModifiedBy>
  <cp:lastPrinted>2010-05-23T16:43:25Z</cp:lastPrinted>
  <dcterms:created xsi:type="dcterms:W3CDTF">1998-05-06T16:26:12Z</dcterms:created>
  <dcterms:modified xsi:type="dcterms:W3CDTF">2011-05-10T13:45:29Z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