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documenti vaio 2015 ottobre\00000000 a3 DIDATTICA PRESENTAZIONI\0002 estimo ferrara complementi\000 esercitazioni 2019 2020\"/>
    </mc:Choice>
  </mc:AlternateContent>
  <bookViews>
    <workbookView xWindow="0" yWindow="0" windowWidth="20490" windowHeight="7620"/>
  </bookViews>
  <sheets>
    <sheet name="prima esercitazione" sheetId="1" r:id="rId1"/>
    <sheet name="seconda esercitazion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40" i="3"/>
  <c r="J7" i="3"/>
  <c r="K20" i="3" s="1"/>
  <c r="K21" i="3" s="1"/>
  <c r="C13" i="1"/>
  <c r="D13" i="1"/>
  <c r="E9" i="1"/>
  <c r="K9" i="1" s="1"/>
  <c r="E10" i="1"/>
  <c r="K10" i="1" s="1"/>
  <c r="E11" i="1"/>
  <c r="K11" i="1" s="1"/>
  <c r="E12" i="1"/>
  <c r="K12" i="1" s="1"/>
  <c r="E8" i="1"/>
  <c r="K8" i="1" s="1"/>
  <c r="F8" i="1"/>
  <c r="F9" i="1" s="1"/>
  <c r="K22" i="3" l="1"/>
  <c r="L20" i="3"/>
  <c r="J8" i="1"/>
  <c r="J10" i="1"/>
  <c r="J9" i="1"/>
  <c r="J11" i="1"/>
  <c r="J12" i="1"/>
  <c r="F10" i="1"/>
  <c r="G9" i="1"/>
  <c r="G8" i="1"/>
  <c r="E15" i="3"/>
  <c r="E14" i="3"/>
  <c r="E13" i="3"/>
  <c r="K23" i="3" l="1"/>
  <c r="L9" i="1"/>
  <c r="H8" i="1"/>
  <c r="I8" i="1"/>
  <c r="L8" i="1"/>
  <c r="H9" i="1"/>
  <c r="I9" i="1"/>
  <c r="M8" i="1"/>
  <c r="F11" i="1"/>
  <c r="G10" i="1"/>
  <c r="L10" i="1" s="1"/>
  <c r="E24" i="3"/>
  <c r="E12" i="3"/>
  <c r="G25" i="3" s="1"/>
  <c r="I25" i="3" s="1"/>
  <c r="C16" i="3"/>
  <c r="E16" i="3" s="1"/>
  <c r="H30" i="3" s="1"/>
  <c r="D22" i="3"/>
  <c r="D23" i="3"/>
  <c r="D24" i="3"/>
  <c r="D25" i="3"/>
  <c r="D26" i="3"/>
  <c r="D27" i="3"/>
  <c r="D28" i="3"/>
  <c r="D29" i="3"/>
  <c r="D30" i="3"/>
  <c r="D21" i="3"/>
  <c r="C20" i="3"/>
  <c r="F20" i="3" s="1"/>
  <c r="I20" i="3"/>
  <c r="B21" i="3"/>
  <c r="U20" i="3"/>
  <c r="U19" i="3"/>
  <c r="B22" i="3" l="1"/>
  <c r="L21" i="3"/>
  <c r="K24" i="3"/>
  <c r="N8" i="1"/>
  <c r="O8" i="1" s="1"/>
  <c r="I10" i="1"/>
  <c r="H10" i="1"/>
  <c r="F12" i="1"/>
  <c r="G12" i="1" s="1"/>
  <c r="G11" i="1"/>
  <c r="U21" i="3"/>
  <c r="G23" i="3"/>
  <c r="I23" i="3" s="1"/>
  <c r="G21" i="3"/>
  <c r="I21" i="3" s="1"/>
  <c r="G28" i="3"/>
  <c r="I28" i="3" s="1"/>
  <c r="G24" i="3"/>
  <c r="I24" i="3" s="1"/>
  <c r="E29" i="3"/>
  <c r="F29" i="3" s="1"/>
  <c r="E25" i="3"/>
  <c r="F25" i="3" s="1"/>
  <c r="J25" i="3" s="1"/>
  <c r="Q25" i="3" s="1"/>
  <c r="E28" i="3"/>
  <c r="F28" i="3" s="1"/>
  <c r="E23" i="3"/>
  <c r="F23" i="3" s="1"/>
  <c r="E21" i="3"/>
  <c r="F21" i="3" s="1"/>
  <c r="E27" i="3"/>
  <c r="F27" i="3" s="1"/>
  <c r="E22" i="3"/>
  <c r="F22" i="3" s="1"/>
  <c r="E30" i="3"/>
  <c r="F30" i="3" s="1"/>
  <c r="E26" i="3"/>
  <c r="F26" i="3" s="1"/>
  <c r="F24" i="3"/>
  <c r="G30" i="3"/>
  <c r="I30" i="3" s="1"/>
  <c r="G29" i="3"/>
  <c r="I29" i="3" s="1"/>
  <c r="G22" i="3"/>
  <c r="I22" i="3" s="1"/>
  <c r="G27" i="3"/>
  <c r="I27" i="3" s="1"/>
  <c r="G26" i="3"/>
  <c r="I26" i="3" s="1"/>
  <c r="J20" i="3"/>
  <c r="Q20" i="3" s="1"/>
  <c r="B23" i="3"/>
  <c r="L23" i="3" s="1"/>
  <c r="P8" i="1"/>
  <c r="P9" i="1"/>
  <c r="P10" i="1"/>
  <c r="P11" i="1"/>
  <c r="P12" i="1"/>
  <c r="P7" i="1"/>
  <c r="B24" i="1"/>
  <c r="B25" i="1" s="1"/>
  <c r="B23" i="1"/>
  <c r="M9" i="1"/>
  <c r="N9" i="1" s="1"/>
  <c r="M10" i="1"/>
  <c r="N10" i="1" s="1"/>
  <c r="M11" i="1"/>
  <c r="K25" i="3" l="1"/>
  <c r="U22" i="3"/>
  <c r="L22" i="3"/>
  <c r="N22" i="3" s="1"/>
  <c r="J21" i="3"/>
  <c r="Q21" i="3" s="1"/>
  <c r="S21" i="3" s="1"/>
  <c r="F32" i="3"/>
  <c r="M21" i="3"/>
  <c r="H12" i="1"/>
  <c r="I12" i="1"/>
  <c r="L12" i="1"/>
  <c r="M12" i="1"/>
  <c r="I11" i="1"/>
  <c r="H11" i="1"/>
  <c r="L11" i="1"/>
  <c r="N11" i="1" s="1"/>
  <c r="O9" i="1"/>
  <c r="K13" i="1"/>
  <c r="N21" i="3"/>
  <c r="J23" i="3"/>
  <c r="J30" i="3"/>
  <c r="Q30" i="3" s="1"/>
  <c r="J24" i="3"/>
  <c r="J29" i="3"/>
  <c r="Q29" i="3" s="1"/>
  <c r="J27" i="3"/>
  <c r="P27" i="3" s="1"/>
  <c r="J28" i="3"/>
  <c r="Q28" i="3" s="1"/>
  <c r="J22" i="3"/>
  <c r="Q22" i="3" s="1"/>
  <c r="I32" i="3"/>
  <c r="J26" i="3"/>
  <c r="P26" i="3" s="1"/>
  <c r="P25" i="3"/>
  <c r="P20" i="3"/>
  <c r="R20" i="3" s="1"/>
  <c r="B24" i="3"/>
  <c r="L24" i="3" s="1"/>
  <c r="U23" i="3"/>
  <c r="N20" i="3"/>
  <c r="M20" i="3"/>
  <c r="S20" i="3"/>
  <c r="E13" i="1"/>
  <c r="P24" i="3" l="1"/>
  <c r="Q23" i="3"/>
  <c r="P21" i="3"/>
  <c r="R21" i="3" s="1"/>
  <c r="M22" i="3"/>
  <c r="O22" i="3" s="1"/>
  <c r="K26" i="3"/>
  <c r="P30" i="3"/>
  <c r="O21" i="3"/>
  <c r="P23" i="3"/>
  <c r="R23" i="3" s="1"/>
  <c r="P29" i="3"/>
  <c r="Q9" i="1"/>
  <c r="N12" i="1"/>
  <c r="O10" i="1"/>
  <c r="Q10" i="1" s="1"/>
  <c r="J13" i="1"/>
  <c r="Q24" i="3"/>
  <c r="Q27" i="3"/>
  <c r="P22" i="3"/>
  <c r="R22" i="3" s="1"/>
  <c r="P28" i="3"/>
  <c r="J32" i="3"/>
  <c r="Q26" i="3"/>
  <c r="C37" i="3"/>
  <c r="O20" i="3"/>
  <c r="B25" i="3"/>
  <c r="L25" i="3" s="1"/>
  <c r="U24" i="3"/>
  <c r="N23" i="3"/>
  <c r="M23" i="3"/>
  <c r="S23" i="3"/>
  <c r="K27" i="3" l="1"/>
  <c r="O11" i="1"/>
  <c r="O12" i="1" s="1"/>
  <c r="T20" i="3"/>
  <c r="O23" i="3"/>
  <c r="B26" i="3"/>
  <c r="L26" i="3" s="1"/>
  <c r="U25" i="3"/>
  <c r="N24" i="3"/>
  <c r="M24" i="3"/>
  <c r="S24" i="3"/>
  <c r="R24" i="3"/>
  <c r="K28" i="3" l="1"/>
  <c r="T21" i="3"/>
  <c r="V21" i="3" s="1"/>
  <c r="Q12" i="1"/>
  <c r="Q11" i="1"/>
  <c r="O24" i="3"/>
  <c r="N25" i="3"/>
  <c r="M25" i="3"/>
  <c r="S25" i="3"/>
  <c r="R25" i="3"/>
  <c r="B27" i="3"/>
  <c r="L27" i="3" s="1"/>
  <c r="U26" i="3"/>
  <c r="K29" i="3" l="1"/>
  <c r="T22" i="3"/>
  <c r="V22" i="3" s="1"/>
  <c r="Q13" i="1"/>
  <c r="M26" i="3"/>
  <c r="N26" i="3"/>
  <c r="R26" i="3"/>
  <c r="S26" i="3"/>
  <c r="O25" i="3"/>
  <c r="B28" i="3"/>
  <c r="L28" i="3" s="1"/>
  <c r="U27" i="3"/>
  <c r="K30" i="3" l="1"/>
  <c r="T23" i="3"/>
  <c r="V23" i="3" s="1"/>
  <c r="N27" i="3"/>
  <c r="M27" i="3"/>
  <c r="R27" i="3"/>
  <c r="S27" i="3"/>
  <c r="O26" i="3"/>
  <c r="B29" i="3"/>
  <c r="L29" i="3" s="1"/>
  <c r="U28" i="3"/>
  <c r="T24" i="3" l="1"/>
  <c r="M13" i="1"/>
  <c r="L13" i="1"/>
  <c r="C18" i="1" s="1"/>
  <c r="N28" i="3"/>
  <c r="M28" i="3"/>
  <c r="S28" i="3"/>
  <c r="R28" i="3"/>
  <c r="B30" i="3"/>
  <c r="L30" i="3" s="1"/>
  <c r="U29" i="3"/>
  <c r="O27" i="3"/>
  <c r="I13" i="1"/>
  <c r="B15" i="1" s="1"/>
  <c r="H13" i="1"/>
  <c r="B16" i="1" s="1"/>
  <c r="T25" i="3" l="1"/>
  <c r="V24" i="3"/>
  <c r="C17" i="1"/>
  <c r="C21" i="1" s="1"/>
  <c r="N13" i="1"/>
  <c r="B20" i="1"/>
  <c r="U30" i="3"/>
  <c r="N29" i="3"/>
  <c r="M29" i="3"/>
  <c r="R29" i="3"/>
  <c r="S29" i="3"/>
  <c r="O28" i="3"/>
  <c r="B19" i="1"/>
  <c r="T26" i="3" l="1"/>
  <c r="V25" i="3"/>
  <c r="C19" i="1"/>
  <c r="O29" i="3"/>
  <c r="M30" i="3"/>
  <c r="N30" i="3"/>
  <c r="N32" i="3" s="1"/>
  <c r="R30" i="3"/>
  <c r="R32" i="3" s="1"/>
  <c r="S30" i="3"/>
  <c r="S32" i="3" s="1"/>
  <c r="C36" i="3" l="1"/>
  <c r="T27" i="3"/>
  <c r="V27" i="3" s="1"/>
  <c r="V26" i="3"/>
  <c r="O30" i="3"/>
  <c r="M32" i="3"/>
  <c r="O32" i="3" l="1"/>
  <c r="T28" i="3"/>
  <c r="C35" i="3"/>
  <c r="C34" i="3"/>
  <c r="T29" i="3" l="1"/>
  <c r="V28" i="3"/>
  <c r="T30" i="3" l="1"/>
  <c r="V30" i="3" s="1"/>
  <c r="V29" i="3"/>
  <c r="V32" i="3" l="1"/>
  <c r="C38" i="3" s="1"/>
</calcChain>
</file>

<file path=xl/sharedStrings.xml><?xml version="1.0" encoding="utf-8"?>
<sst xmlns="http://schemas.openxmlformats.org/spreadsheetml/2006/main" count="131" uniqueCount="88">
  <si>
    <t>data</t>
  </si>
  <si>
    <t>anno</t>
  </si>
  <si>
    <t>saldo</t>
  </si>
  <si>
    <t>31/12/2020</t>
  </si>
  <si>
    <t>31/12/2021</t>
  </si>
  <si>
    <t>31/12/2022</t>
  </si>
  <si>
    <t>saggio</t>
  </si>
  <si>
    <t>fattore</t>
  </si>
  <si>
    <t>di sconto</t>
  </si>
  <si>
    <t>uscite</t>
  </si>
  <si>
    <t>entrate</t>
  </si>
  <si>
    <t>FNN</t>
  </si>
  <si>
    <t>FNP</t>
  </si>
  <si>
    <t>VAN</t>
  </si>
  <si>
    <t>VA E</t>
  </si>
  <si>
    <t>VA U</t>
  </si>
  <si>
    <t>REU</t>
  </si>
  <si>
    <t>REU'</t>
  </si>
  <si>
    <t>VA FNP</t>
  </si>
  <si>
    <t>VA FNN</t>
  </si>
  <si>
    <t>SRI</t>
  </si>
  <si>
    <t>TRC</t>
  </si>
  <si>
    <t>saldo s.</t>
  </si>
  <si>
    <t>investimento</t>
  </si>
  <si>
    <t>vendite</t>
  </si>
  <si>
    <t>casette</t>
  </si>
  <si>
    <t>prezzo vendita</t>
  </si>
  <si>
    <t>costi variabili unitari</t>
  </si>
  <si>
    <t>costi gestione fissi</t>
  </si>
  <si>
    <t>trc</t>
  </si>
  <si>
    <t>BASELINE</t>
  </si>
  <si>
    <t>%</t>
  </si>
  <si>
    <t>VALORE</t>
  </si>
  <si>
    <t>VAR. ALEATORIE</t>
  </si>
  <si>
    <t>valore residuo</t>
  </si>
  <si>
    <t>01/01/2020</t>
  </si>
  <si>
    <t>31/12/2023</t>
  </si>
  <si>
    <t>valore attuale delle entrate</t>
  </si>
  <si>
    <t>valore attuale delle uscite</t>
  </si>
  <si>
    <t>valore attuale dei flussi netti positivi</t>
  </si>
  <si>
    <t>valore attuale dei flussi netti negativi</t>
  </si>
  <si>
    <t>valore attuale netto</t>
  </si>
  <si>
    <t>rapporto flussi netti positivi / flussi netti negativi</t>
  </si>
  <si>
    <t>saggio di rendimento interno calcolato manualmente</t>
  </si>
  <si>
    <t>tempo di ritorno del capitale</t>
  </si>
  <si>
    <t>Si sceglie un saggio di rendimento del capitale in investimenti alternativi (a parità di livello di rischiosità e al netto dell'inflazione) pari a:</t>
  </si>
  <si>
    <t>Si sceglie di operare a prezzi costanti (euro 2019).</t>
  </si>
  <si>
    <t>-</t>
  </si>
  <si>
    <t>scontato</t>
  </si>
  <si>
    <t>SRI Excel</t>
  </si>
  <si>
    <t>VAN Excel</t>
  </si>
  <si>
    <t>scontate</t>
  </si>
  <si>
    <t>progressivo</t>
  </si>
  <si>
    <t>scontati</t>
  </si>
  <si>
    <t>flussi netti</t>
  </si>
  <si>
    <t>positivi</t>
  </si>
  <si>
    <t>negativi</t>
  </si>
  <si>
    <t>TOTALE</t>
  </si>
  <si>
    <t>saggio di rendimento interno calcolato con la formula finanziaria di Excel</t>
  </si>
  <si>
    <t>VAN Excel corretto</t>
  </si>
  <si>
    <t>valore attuale netto calcolato con la formula finanziaria di Excel (che anticipa di 1 anno)</t>
  </si>
  <si>
    <t>valore attuale netto (notare che le due differenza danno lo stesso risultato)</t>
  </si>
  <si>
    <t>rapporto entrate uscite (notare che i due rapporti danno risultati differenti)</t>
  </si>
  <si>
    <t>calcolo</t>
  </si>
  <si>
    <t>USCITE</t>
  </si>
  <si>
    <t>ENTRATE</t>
  </si>
  <si>
    <t>SALDO</t>
  </si>
  <si>
    <t>SAGGIO</t>
  </si>
  <si>
    <t>DI SCONTO</t>
  </si>
  <si>
    <t>fisse</t>
  </si>
  <si>
    <t>variabili</t>
  </si>
  <si>
    <t>FATTORE</t>
  </si>
  <si>
    <t>PROSPETTO PER LA BASELINE E L'ANALISI DI SENSITIVITA'</t>
  </si>
  <si>
    <t>valore</t>
  </si>
  <si>
    <t>residuo</t>
  </si>
  <si>
    <t>positivi FNP</t>
  </si>
  <si>
    <t>negativi FNN</t>
  </si>
  <si>
    <t>rapporto entrate-uscite</t>
  </si>
  <si>
    <t>rapporto flussi netti positivi/flussi netti negativi</t>
  </si>
  <si>
    <t>- saggio di rendimento medio previsto per investimenti alternavi al netto dell'inflazione (r-i)/(1+i):</t>
  </si>
  <si>
    <t>- saggio di rendimento medio previsto per investimenti alternavi al lordo dell'inflazione (r):</t>
  </si>
  <si>
    <t>- saggio di inflazione medio previsto (i):</t>
  </si>
  <si>
    <t>saggio di rendimento interno (formula finanziaria di Excel)</t>
  </si>
  <si>
    <t>valo attuale netto (formula finanziaria di Excel posticipata di 1 anno)</t>
  </si>
  <si>
    <t>Le uniche celle ove inserire i dati sono quelle bianche.</t>
  </si>
  <si>
    <t>valore attuale netto calcolato con la formula finanziaria di Excel, riportata di 1 anno, cioè al momento 0</t>
  </si>
  <si>
    <t>ANALISI DEGLI INVESTIMENTI: CASO STUDIO "MOBILE HOME"</t>
  </si>
  <si>
    <t>ANALISI DEGLI INVESTIMENTI: CASO STUDIO DIDATTICO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</si>
</sst>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€&quot;\ #,##0.00;[Red]\-&quot;€&quot;\ #,##0.00"/>
    <numFmt numFmtId="164" formatCode="0.000"/>
    <numFmt numFmtId="165" formatCode="0.0"/>
    <numFmt numFmtId="166" formatCode="#,##0.00_ ;[Red]\-#,##0.00\ "/>
    <numFmt numFmtId="167" formatCode="#,##0.0_ ;[Red]\-#,##0.0\ "/>
    <numFmt numFmtId="168" formatCode="0.000%"/>
    <numFmt numFmtId="169" formatCode="0.0000"/>
    <numFmt numFmtId="170" formatCode="0.000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Border="1"/>
    <xf numFmtId="165" fontId="1" fillId="0" borderId="0" xfId="0" applyNumberFormat="1" applyFont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0" fontId="0" fillId="0" borderId="0" xfId="0" applyFill="1"/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0" fillId="0" borderId="1" xfId="0" applyNumberFormat="1" applyFont="1" applyFill="1" applyBorder="1" applyAlignment="1">
      <alignment horizontal="center"/>
    </xf>
    <xf numFmtId="169" fontId="12" fillId="2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11" fillId="0" borderId="0" xfId="0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" fontId="0" fillId="0" borderId="4" xfId="0" quotePrefix="1" applyNumberFormat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0" fillId="0" borderId="0" xfId="0" applyNumberFormat="1" applyBorder="1"/>
    <xf numFmtId="9" fontId="0" fillId="0" borderId="1" xfId="0" applyNumberForma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8" fontId="0" fillId="0" borderId="0" xfId="0" applyNumberFormat="1" applyBorder="1"/>
    <xf numFmtId="2" fontId="14" fillId="0" borderId="0" xfId="0" applyNumberFormat="1" applyFont="1" applyBorder="1"/>
    <xf numFmtId="1" fontId="0" fillId="0" borderId="0" xfId="0" applyNumberForma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left" indent="3"/>
    </xf>
    <xf numFmtId="0" fontId="5" fillId="2" borderId="4" xfId="0" applyFont="1" applyFill="1" applyBorder="1" applyAlignment="1">
      <alignment horizontal="center"/>
    </xf>
    <xf numFmtId="169" fontId="3" fillId="0" borderId="1" xfId="0" applyNumberFormat="1" applyFont="1" applyFill="1" applyBorder="1"/>
    <xf numFmtId="169" fontId="3" fillId="2" borderId="1" xfId="0" applyNumberFormat="1" applyFont="1" applyFill="1" applyBorder="1"/>
    <xf numFmtId="0" fontId="7" fillId="2" borderId="0" xfId="0" quotePrefix="1" applyFont="1" applyFill="1"/>
    <xf numFmtId="0" fontId="3" fillId="2" borderId="0" xfId="0" applyFont="1" applyFill="1" applyBorder="1"/>
    <xf numFmtId="165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/>
    <xf numFmtId="10" fontId="0" fillId="0" borderId="0" xfId="0" applyNumberFormat="1" applyFill="1" applyBorder="1"/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13" fillId="2" borderId="0" xfId="0" applyFont="1" applyFill="1"/>
    <xf numFmtId="1" fontId="12" fillId="2" borderId="1" xfId="0" applyNumberFormat="1" applyFont="1" applyFill="1" applyBorder="1" applyAlignment="1">
      <alignment horizontal="center"/>
    </xf>
    <xf numFmtId="10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70" fontId="0" fillId="2" borderId="0" xfId="0" applyNumberFormat="1" applyFill="1"/>
    <xf numFmtId="0" fontId="11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14" fontId="0" fillId="2" borderId="1" xfId="0" quotePrefix="1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4" fontId="0" fillId="2" borderId="0" xfId="0" applyNumberFormat="1" applyFill="1" applyBorder="1" applyAlignment="1">
      <alignment horizontal="right"/>
    </xf>
    <xf numFmtId="165" fontId="1" fillId="2" borderId="0" xfId="0" applyNumberFormat="1" applyFont="1" applyFill="1" applyBorder="1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/>
    <xf numFmtId="164" fontId="0" fillId="2" borderId="1" xfId="0" applyNumberForma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/>
    </xf>
    <xf numFmtId="168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="90" zoomScaleNormal="90" workbookViewId="0">
      <selection activeCell="S6" sqref="S6"/>
    </sheetView>
  </sheetViews>
  <sheetFormatPr defaultRowHeight="15" x14ac:dyDescent="0.25"/>
  <cols>
    <col min="1" max="1" width="20.28515625" customWidth="1"/>
    <col min="2" max="5" width="11.140625" customWidth="1"/>
    <col min="6" max="6" width="12.28515625" customWidth="1"/>
    <col min="7" max="7" width="10.140625" customWidth="1"/>
    <col min="8" max="8" width="9.5703125" customWidth="1"/>
    <col min="12" max="12" width="9.7109375" customWidth="1"/>
    <col min="14" max="14" width="9.85546875" customWidth="1"/>
    <col min="15" max="15" width="12.140625" customWidth="1"/>
    <col min="16" max="16" width="7.42578125" customWidth="1"/>
    <col min="18" max="18" width="12.28515625" customWidth="1"/>
  </cols>
  <sheetData>
    <row r="1" spans="1:19" ht="18" customHeight="1" x14ac:dyDescent="0.25">
      <c r="A1" s="2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8" customHeight="1" x14ac:dyDescent="0.25">
      <c r="A2" s="19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ht="18" customHeight="1" x14ac:dyDescent="0.3">
      <c r="A3" s="19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15">
        <v>0.05</v>
      </c>
      <c r="M3" s="1"/>
      <c r="N3" s="93"/>
      <c r="O3" s="1"/>
      <c r="P3" s="1"/>
      <c r="Q3" s="1"/>
    </row>
    <row r="4" spans="1:19" ht="18" customHeight="1" x14ac:dyDescent="0.35">
      <c r="A4" s="1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8"/>
      <c r="N4" s="1"/>
      <c r="O4" s="1"/>
      <c r="P4" s="1"/>
      <c r="Q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94" t="s">
        <v>54</v>
      </c>
      <c r="K5" s="94" t="s">
        <v>54</v>
      </c>
      <c r="L5" s="1"/>
      <c r="M5" s="1"/>
      <c r="N5" s="1"/>
      <c r="O5" s="1"/>
      <c r="P5" s="1"/>
      <c r="Q5" s="1"/>
    </row>
    <row r="6" spans="1:19" x14ac:dyDescent="0.25">
      <c r="A6" s="1"/>
      <c r="B6" s="1"/>
      <c r="C6" s="1"/>
      <c r="D6" s="1"/>
      <c r="E6" s="1"/>
      <c r="F6" s="1"/>
      <c r="G6" s="95" t="s">
        <v>7</v>
      </c>
      <c r="H6" s="49" t="s">
        <v>9</v>
      </c>
      <c r="I6" s="50" t="s">
        <v>10</v>
      </c>
      <c r="J6" s="96" t="s">
        <v>55</v>
      </c>
      <c r="K6" s="96" t="s">
        <v>56</v>
      </c>
      <c r="L6" s="51" t="s">
        <v>11</v>
      </c>
      <c r="M6" s="49" t="s">
        <v>12</v>
      </c>
      <c r="N6" s="53" t="s">
        <v>2</v>
      </c>
      <c r="O6" s="49" t="s">
        <v>13</v>
      </c>
      <c r="P6" s="1"/>
      <c r="Q6" s="49" t="s">
        <v>63</v>
      </c>
    </row>
    <row r="7" spans="1:19" x14ac:dyDescent="0.25">
      <c r="A7" s="6" t="s">
        <v>0</v>
      </c>
      <c r="B7" s="6" t="s">
        <v>1</v>
      </c>
      <c r="C7" s="6" t="s">
        <v>9</v>
      </c>
      <c r="D7" s="6" t="s">
        <v>10</v>
      </c>
      <c r="E7" s="6" t="s">
        <v>2</v>
      </c>
      <c r="F7" s="33" t="s">
        <v>6</v>
      </c>
      <c r="G7" s="41" t="s">
        <v>8</v>
      </c>
      <c r="H7" s="38" t="s">
        <v>51</v>
      </c>
      <c r="I7" s="38" t="s">
        <v>51</v>
      </c>
      <c r="J7" s="34" t="s">
        <v>11</v>
      </c>
      <c r="K7" s="33" t="s">
        <v>12</v>
      </c>
      <c r="L7" s="38" t="s">
        <v>53</v>
      </c>
      <c r="M7" s="38" t="s">
        <v>53</v>
      </c>
      <c r="N7" s="97" t="s">
        <v>48</v>
      </c>
      <c r="O7" s="38" t="s">
        <v>52</v>
      </c>
      <c r="P7" s="33" t="str">
        <f t="shared" ref="P7:P12" si="0">+B7</f>
        <v>anno</v>
      </c>
      <c r="Q7" s="38" t="s">
        <v>29</v>
      </c>
    </row>
    <row r="8" spans="1:19" x14ac:dyDescent="0.25">
      <c r="A8" s="98" t="s">
        <v>35</v>
      </c>
      <c r="B8" s="6">
        <v>0</v>
      </c>
      <c r="C8" s="8">
        <v>125</v>
      </c>
      <c r="D8" s="8">
        <v>0</v>
      </c>
      <c r="E8" s="6">
        <f>+D8-C8</f>
        <v>-125</v>
      </c>
      <c r="F8" s="6">
        <f>+L3</f>
        <v>0.05</v>
      </c>
      <c r="G8" s="37">
        <f>1/(F8+1)^B8</f>
        <v>1</v>
      </c>
      <c r="H8" s="99">
        <f>+C8*G8</f>
        <v>125</v>
      </c>
      <c r="I8" s="99">
        <f>+D8*G8</f>
        <v>0</v>
      </c>
      <c r="J8" s="7">
        <f>IF(E8&lt;0,-E8,0)</f>
        <v>125</v>
      </c>
      <c r="K8" s="7">
        <f>IF(E8&gt;0,E8,0)</f>
        <v>0</v>
      </c>
      <c r="L8" s="99">
        <f>+J8*G8</f>
        <v>125</v>
      </c>
      <c r="M8" s="99">
        <f>+K8*G8</f>
        <v>0</v>
      </c>
      <c r="N8" s="99">
        <f>+M8-L8</f>
        <v>-125</v>
      </c>
      <c r="O8" s="99">
        <f>+N8</f>
        <v>-125</v>
      </c>
      <c r="P8" s="6">
        <f t="shared" si="0"/>
        <v>0</v>
      </c>
      <c r="Q8" s="38">
        <v>0</v>
      </c>
    </row>
    <row r="9" spans="1:19" x14ac:dyDescent="0.25">
      <c r="A9" s="98" t="s">
        <v>3</v>
      </c>
      <c r="B9" s="6">
        <v>1</v>
      </c>
      <c r="C9" s="8">
        <v>10</v>
      </c>
      <c r="D9" s="8">
        <v>50</v>
      </c>
      <c r="E9" s="6">
        <f t="shared" ref="E9:E12" si="1">+D9-C9</f>
        <v>40</v>
      </c>
      <c r="F9" s="6">
        <f>+F8</f>
        <v>0.05</v>
      </c>
      <c r="G9" s="14">
        <f>1/(F9+1)^B9</f>
        <v>0.95238095238095233</v>
      </c>
      <c r="H9" s="7">
        <f t="shared" ref="H9:H12" si="2">+C9*G9</f>
        <v>9.5238095238095237</v>
      </c>
      <c r="I9" s="7">
        <f t="shared" ref="I9:I12" si="3">+D9*G9</f>
        <v>47.619047619047613</v>
      </c>
      <c r="J9" s="7">
        <f t="shared" ref="J9:J12" si="4">IF(E9&lt;0,-E9,0)</f>
        <v>0</v>
      </c>
      <c r="K9" s="7">
        <f t="shared" ref="K9:K11" si="5">IF(E9&gt;0,E9,0)</f>
        <v>40</v>
      </c>
      <c r="L9" s="7">
        <f t="shared" ref="L9:L12" si="6">+J9*G9</f>
        <v>0</v>
      </c>
      <c r="M9" s="7">
        <f t="shared" ref="M9:M12" si="7">+K9*G9</f>
        <v>38.095238095238095</v>
      </c>
      <c r="N9" s="99">
        <f t="shared" ref="N9:N13" si="8">+M9-L9</f>
        <v>38.095238095238095</v>
      </c>
      <c r="O9" s="7">
        <f>+O8+N9</f>
        <v>-86.904761904761898</v>
      </c>
      <c r="P9" s="6">
        <f t="shared" si="0"/>
        <v>1</v>
      </c>
      <c r="Q9" s="6">
        <f t="shared" ref="Q9:Q11" si="9">IF(O8&lt;0,IF(O9&gt;1,P9,0),0)</f>
        <v>0</v>
      </c>
    </row>
    <row r="10" spans="1:19" x14ac:dyDescent="0.25">
      <c r="A10" s="98" t="s">
        <v>4</v>
      </c>
      <c r="B10" s="6">
        <v>2</v>
      </c>
      <c r="C10" s="8">
        <v>10</v>
      </c>
      <c r="D10" s="8">
        <v>50</v>
      </c>
      <c r="E10" s="6">
        <f t="shared" si="1"/>
        <v>40</v>
      </c>
      <c r="F10" s="6">
        <f t="shared" ref="F10:F12" si="10">+F9</f>
        <v>0.05</v>
      </c>
      <c r="G10" s="14">
        <f>1/(F10+1)^B10</f>
        <v>0.90702947845804982</v>
      </c>
      <c r="H10" s="7">
        <f t="shared" si="2"/>
        <v>9.0702947845804989</v>
      </c>
      <c r="I10" s="7">
        <f t="shared" si="3"/>
        <v>45.351473922902493</v>
      </c>
      <c r="J10" s="7">
        <f t="shared" si="4"/>
        <v>0</v>
      </c>
      <c r="K10" s="7">
        <f t="shared" si="5"/>
        <v>40</v>
      </c>
      <c r="L10" s="7">
        <f t="shared" si="6"/>
        <v>0</v>
      </c>
      <c r="M10" s="7">
        <f t="shared" si="7"/>
        <v>36.281179138321995</v>
      </c>
      <c r="N10" s="99">
        <f t="shared" si="8"/>
        <v>36.281179138321995</v>
      </c>
      <c r="O10" s="7">
        <f t="shared" ref="O10:O12" si="11">+O9+N10</f>
        <v>-50.623582766439903</v>
      </c>
      <c r="P10" s="6">
        <f t="shared" si="0"/>
        <v>2</v>
      </c>
      <c r="Q10" s="6">
        <f t="shared" si="9"/>
        <v>0</v>
      </c>
    </row>
    <row r="11" spans="1:19" x14ac:dyDescent="0.25">
      <c r="A11" s="98" t="s">
        <v>5</v>
      </c>
      <c r="B11" s="6">
        <v>3</v>
      </c>
      <c r="C11" s="8">
        <v>10</v>
      </c>
      <c r="D11" s="8">
        <v>50</v>
      </c>
      <c r="E11" s="6">
        <f t="shared" si="1"/>
        <v>40</v>
      </c>
      <c r="F11" s="6">
        <f t="shared" si="10"/>
        <v>0.05</v>
      </c>
      <c r="G11" s="14">
        <f>1/(F11+1)^B11</f>
        <v>0.86383759853147601</v>
      </c>
      <c r="H11" s="7">
        <f t="shared" si="2"/>
        <v>8.6383759853147595</v>
      </c>
      <c r="I11" s="7">
        <f t="shared" si="3"/>
        <v>43.191879926573797</v>
      </c>
      <c r="J11" s="7">
        <f t="shared" si="4"/>
        <v>0</v>
      </c>
      <c r="K11" s="7">
        <f t="shared" si="5"/>
        <v>40</v>
      </c>
      <c r="L11" s="7">
        <f t="shared" si="6"/>
        <v>0</v>
      </c>
      <c r="M11" s="7">
        <f t="shared" si="7"/>
        <v>34.553503941259038</v>
      </c>
      <c r="N11" s="99">
        <f t="shared" si="8"/>
        <v>34.553503941259038</v>
      </c>
      <c r="O11" s="7">
        <f t="shared" si="11"/>
        <v>-16.070078825180865</v>
      </c>
      <c r="P11" s="6">
        <f t="shared" si="0"/>
        <v>3</v>
      </c>
      <c r="Q11" s="6">
        <f t="shared" si="9"/>
        <v>0</v>
      </c>
    </row>
    <row r="12" spans="1:19" x14ac:dyDescent="0.25">
      <c r="A12" s="98" t="s">
        <v>36</v>
      </c>
      <c r="B12" s="6">
        <v>4</v>
      </c>
      <c r="C12" s="8">
        <v>10</v>
      </c>
      <c r="D12" s="8">
        <v>50</v>
      </c>
      <c r="E12" s="6">
        <f t="shared" si="1"/>
        <v>40</v>
      </c>
      <c r="F12" s="6">
        <f t="shared" si="10"/>
        <v>0.05</v>
      </c>
      <c r="G12" s="14">
        <f>1/(F12+1)^B12</f>
        <v>0.82270247479188197</v>
      </c>
      <c r="H12" s="7">
        <f t="shared" si="2"/>
        <v>8.2270247479188203</v>
      </c>
      <c r="I12" s="7">
        <f t="shared" si="3"/>
        <v>41.1351237395941</v>
      </c>
      <c r="J12" s="7">
        <f t="shared" si="4"/>
        <v>0</v>
      </c>
      <c r="K12" s="7">
        <f>IF(E12&gt;0,E12,0)</f>
        <v>40</v>
      </c>
      <c r="L12" s="7">
        <f t="shared" si="6"/>
        <v>0</v>
      </c>
      <c r="M12" s="7">
        <f t="shared" si="7"/>
        <v>32.908098991675281</v>
      </c>
      <c r="N12" s="99">
        <f t="shared" si="8"/>
        <v>32.908098991675281</v>
      </c>
      <c r="O12" s="7">
        <f t="shared" si="11"/>
        <v>16.838020166494417</v>
      </c>
      <c r="P12" s="6">
        <f t="shared" si="0"/>
        <v>4</v>
      </c>
      <c r="Q12" s="6">
        <f>IF(O11&lt;0,IF(O12&gt;1,P12,0),0)</f>
        <v>4</v>
      </c>
    </row>
    <row r="13" spans="1:19" x14ac:dyDescent="0.25">
      <c r="A13" s="13" t="s">
        <v>57</v>
      </c>
      <c r="B13" s="16" t="s">
        <v>47</v>
      </c>
      <c r="C13" s="6">
        <f t="shared" ref="C13:D13" si="12">SUM(C8:C12)</f>
        <v>165</v>
      </c>
      <c r="D13" s="6">
        <f t="shared" si="12"/>
        <v>200</v>
      </c>
      <c r="E13" s="6">
        <f>SUM(E8:E12)</f>
        <v>35</v>
      </c>
      <c r="F13" s="6"/>
      <c r="G13" s="6"/>
      <c r="H13" s="100">
        <f t="shared" ref="H13:M13" si="13">SUM(H8:H12)</f>
        <v>160.4595050416236</v>
      </c>
      <c r="I13" s="100">
        <f t="shared" si="13"/>
        <v>177.297525208118</v>
      </c>
      <c r="J13" s="100">
        <f t="shared" si="13"/>
        <v>125</v>
      </c>
      <c r="K13" s="100">
        <f t="shared" si="13"/>
        <v>160</v>
      </c>
      <c r="L13" s="100">
        <f t="shared" si="13"/>
        <v>125</v>
      </c>
      <c r="M13" s="100">
        <f t="shared" si="13"/>
        <v>141.8380201664944</v>
      </c>
      <c r="N13" s="101">
        <f t="shared" si="8"/>
        <v>16.838020166494402</v>
      </c>
      <c r="O13" s="16" t="s">
        <v>47</v>
      </c>
      <c r="P13" s="16" t="s">
        <v>47</v>
      </c>
      <c r="Q13" s="116">
        <f>MAX(Q8:Q12)</f>
        <v>4</v>
      </c>
    </row>
    <row r="14" spans="1:19" x14ac:dyDescent="0.25">
      <c r="A14" s="65"/>
      <c r="B14" s="1"/>
      <c r="C14" s="102"/>
      <c r="D14" s="59"/>
      <c r="E14" s="59"/>
      <c r="F14" s="59"/>
      <c r="G14" s="59"/>
      <c r="H14" s="103"/>
      <c r="I14" s="1"/>
      <c r="J14" s="103"/>
      <c r="K14" s="103"/>
      <c r="L14" s="103"/>
      <c r="M14" s="103"/>
      <c r="N14" s="103"/>
      <c r="O14" s="103"/>
      <c r="P14" s="103"/>
      <c r="Q14" s="103"/>
      <c r="R14" s="5"/>
      <c r="S14" s="5"/>
    </row>
    <row r="15" spans="1:19" ht="15" customHeight="1" x14ac:dyDescent="0.25">
      <c r="A15" s="104" t="s">
        <v>14</v>
      </c>
      <c r="B15" s="105">
        <f>+I13</f>
        <v>177.297525208118</v>
      </c>
      <c r="C15" s="104"/>
      <c r="D15" s="106" t="s">
        <v>37</v>
      </c>
      <c r="E15" s="107"/>
      <c r="F15" s="1"/>
      <c r="G15" s="1"/>
      <c r="H15" s="1"/>
      <c r="I15" s="1"/>
      <c r="J15" s="1"/>
      <c r="K15" s="1"/>
      <c r="L15" s="1"/>
      <c r="M15" s="59"/>
      <c r="N15" s="22"/>
      <c r="O15" s="22"/>
      <c r="P15" s="22"/>
      <c r="Q15" s="22"/>
      <c r="R15" s="24"/>
    </row>
    <row r="16" spans="1:19" ht="15" customHeight="1" x14ac:dyDescent="0.25">
      <c r="A16" s="104" t="s">
        <v>15</v>
      </c>
      <c r="B16" s="105">
        <f>+H13</f>
        <v>160.4595050416236</v>
      </c>
      <c r="C16" s="104"/>
      <c r="D16" s="106" t="s">
        <v>38</v>
      </c>
      <c r="E16" s="107"/>
      <c r="F16" s="1"/>
      <c r="G16" s="1"/>
      <c r="H16" s="1"/>
      <c r="I16" s="1"/>
      <c r="J16" s="1"/>
      <c r="K16" s="1"/>
      <c r="L16" s="1"/>
      <c r="M16" s="108"/>
      <c r="N16" s="22"/>
      <c r="O16" s="22"/>
      <c r="P16" s="22"/>
      <c r="Q16" s="22"/>
      <c r="R16" s="25"/>
    </row>
    <row r="17" spans="1:18" ht="15" customHeight="1" x14ac:dyDescent="0.25">
      <c r="A17" s="104" t="s">
        <v>18</v>
      </c>
      <c r="B17" s="104"/>
      <c r="C17" s="105">
        <f>+M13</f>
        <v>141.8380201664944</v>
      </c>
      <c r="D17" s="106" t="s">
        <v>39</v>
      </c>
      <c r="E17" s="107"/>
      <c r="F17" s="1"/>
      <c r="G17" s="1"/>
      <c r="H17" s="1"/>
      <c r="I17" s="1"/>
      <c r="J17" s="1"/>
      <c r="K17" s="1"/>
      <c r="L17" s="1"/>
      <c r="M17" s="108"/>
      <c r="N17" s="22"/>
      <c r="O17" s="22"/>
      <c r="P17" s="22"/>
      <c r="Q17" s="22"/>
      <c r="R17" s="25"/>
    </row>
    <row r="18" spans="1:18" ht="15" customHeight="1" x14ac:dyDescent="0.25">
      <c r="A18" s="104" t="s">
        <v>19</v>
      </c>
      <c r="B18" s="104"/>
      <c r="C18" s="105">
        <f>+L13</f>
        <v>125</v>
      </c>
      <c r="D18" s="106" t="s">
        <v>40</v>
      </c>
      <c r="E18" s="107"/>
      <c r="F18" s="1"/>
      <c r="G18" s="1"/>
      <c r="H18" s="1"/>
      <c r="I18" s="1"/>
      <c r="J18" s="1"/>
      <c r="K18" s="1"/>
      <c r="L18" s="1"/>
      <c r="M18" s="108"/>
      <c r="N18" s="22"/>
      <c r="O18" s="22"/>
      <c r="P18" s="22"/>
      <c r="Q18" s="22"/>
      <c r="R18" s="25"/>
    </row>
    <row r="19" spans="1:18" ht="15" customHeight="1" x14ac:dyDescent="0.5">
      <c r="A19" s="109" t="s">
        <v>13</v>
      </c>
      <c r="B19" s="105">
        <f>+B15-B16</f>
        <v>16.838020166494402</v>
      </c>
      <c r="C19" s="105">
        <f>+C17-C18</f>
        <v>16.838020166494402</v>
      </c>
      <c r="D19" s="106" t="s">
        <v>61</v>
      </c>
      <c r="E19" s="107"/>
      <c r="F19" s="1"/>
      <c r="G19" s="110"/>
      <c r="H19" s="1"/>
      <c r="I19" s="1"/>
      <c r="J19" s="1"/>
      <c r="K19" s="1"/>
      <c r="L19" s="1"/>
      <c r="M19" s="108"/>
      <c r="N19" s="22"/>
      <c r="O19" s="22"/>
      <c r="P19" s="22"/>
      <c r="Q19" s="22"/>
      <c r="R19" s="25"/>
    </row>
    <row r="20" spans="1:18" ht="15" customHeight="1" x14ac:dyDescent="0.25">
      <c r="A20" s="109" t="s">
        <v>16</v>
      </c>
      <c r="B20" s="111">
        <f>+B15/B16</f>
        <v>1.1049362589154601</v>
      </c>
      <c r="C20" s="104"/>
      <c r="D20" s="106" t="s">
        <v>62</v>
      </c>
      <c r="E20" s="107"/>
      <c r="F20" s="1"/>
      <c r="G20" s="1"/>
      <c r="H20" s="1"/>
      <c r="I20" s="1"/>
      <c r="J20" s="1"/>
      <c r="K20" s="1"/>
      <c r="L20" s="1"/>
      <c r="M20" s="108"/>
      <c r="N20" s="22"/>
      <c r="O20" s="22"/>
      <c r="P20" s="22"/>
      <c r="Q20" s="22"/>
      <c r="R20" s="25"/>
    </row>
    <row r="21" spans="1:18" ht="15" customHeight="1" x14ac:dyDescent="0.25">
      <c r="A21" s="109" t="s">
        <v>17</v>
      </c>
      <c r="B21" s="104"/>
      <c r="C21" s="111">
        <f>+C17/C18</f>
        <v>1.1347041613319553</v>
      </c>
      <c r="D21" s="106" t="s">
        <v>42</v>
      </c>
      <c r="E21" s="107"/>
      <c r="F21" s="1"/>
      <c r="G21" s="1"/>
      <c r="H21" s="1"/>
      <c r="I21" s="1"/>
      <c r="J21" s="1"/>
      <c r="K21" s="1"/>
      <c r="L21" s="1"/>
      <c r="M21" s="103"/>
      <c r="N21" s="22"/>
      <c r="O21" s="112"/>
      <c r="P21" s="112"/>
      <c r="Q21" s="112"/>
      <c r="R21" s="26"/>
    </row>
    <row r="22" spans="1:18" ht="15" customHeight="1" x14ac:dyDescent="0.25">
      <c r="A22" s="109" t="s">
        <v>20</v>
      </c>
      <c r="B22" s="30">
        <v>0.106615273</v>
      </c>
      <c r="C22" s="107"/>
      <c r="D22" s="106" t="s">
        <v>43</v>
      </c>
      <c r="E22" s="107"/>
      <c r="F22" s="1"/>
      <c r="G22" s="1"/>
      <c r="H22" s="1"/>
      <c r="I22" s="1"/>
      <c r="J22" s="1"/>
      <c r="K22" s="1"/>
      <c r="L22" s="1"/>
      <c r="M22" s="59"/>
      <c r="N22" s="59"/>
      <c r="O22" s="59"/>
      <c r="P22" s="59"/>
      <c r="Q22" s="59"/>
      <c r="R22" s="23"/>
    </row>
    <row r="23" spans="1:18" ht="15" customHeight="1" x14ac:dyDescent="0.25">
      <c r="A23" s="109" t="s">
        <v>49</v>
      </c>
      <c r="B23" s="113">
        <f>IRR(E8:E12)</f>
        <v>0.10661525730354637</v>
      </c>
      <c r="C23" s="107"/>
      <c r="D23" s="106" t="s">
        <v>58</v>
      </c>
      <c r="E23" s="10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8" ht="15" customHeight="1" x14ac:dyDescent="0.25">
      <c r="A24" s="109" t="s">
        <v>50</v>
      </c>
      <c r="B24" s="114">
        <f>NPV(L3,E8:E12)</f>
        <v>16.036209682375627</v>
      </c>
      <c r="C24" s="107"/>
      <c r="D24" s="106" t="s">
        <v>60</v>
      </c>
      <c r="E24" s="10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5" customHeight="1" x14ac:dyDescent="0.25">
      <c r="A25" s="109" t="s">
        <v>59</v>
      </c>
      <c r="B25" s="105">
        <f>+B24*(1+L3)</f>
        <v>16.83802016649441</v>
      </c>
      <c r="C25" s="1"/>
      <c r="D25" s="106" t="s">
        <v>85</v>
      </c>
      <c r="E25" s="10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5" customHeight="1" x14ac:dyDescent="0.25">
      <c r="A26" s="109" t="s">
        <v>21</v>
      </c>
      <c r="B26" s="40">
        <f>IF(Q13=0,"mai",Q13)</f>
        <v>4</v>
      </c>
      <c r="C26" s="107"/>
      <c r="D26" s="106" t="s">
        <v>44</v>
      </c>
      <c r="E26" s="10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 ht="15" customHeight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="60" zoomScaleNormal="60" workbookViewId="0">
      <selection activeCell="A2" sqref="A2"/>
    </sheetView>
  </sheetViews>
  <sheetFormatPr defaultRowHeight="15" x14ac:dyDescent="0.25"/>
  <cols>
    <col min="1" max="1" width="17.28515625" customWidth="1"/>
    <col min="2" max="2" width="12.85546875" customWidth="1"/>
    <col min="3" max="3" width="18.5703125" customWidth="1"/>
    <col min="4" max="5" width="12.5703125" customWidth="1"/>
    <col min="6" max="6" width="15.85546875" customWidth="1"/>
    <col min="7" max="8" width="12.42578125" customWidth="1"/>
    <col min="9" max="9" width="14.85546875" customWidth="1"/>
    <col min="10" max="10" width="13.28515625" customWidth="1"/>
    <col min="11" max="11" width="12.5703125" customWidth="1"/>
    <col min="12" max="13" width="13.85546875" customWidth="1"/>
    <col min="14" max="14" width="12.28515625" customWidth="1"/>
    <col min="15" max="15" width="12.7109375" bestFit="1" customWidth="1"/>
    <col min="16" max="17" width="13.42578125" customWidth="1"/>
    <col min="18" max="18" width="11.5703125" bestFit="1" customWidth="1"/>
    <col min="19" max="19" width="11.7109375" customWidth="1"/>
    <col min="20" max="20" width="13.5703125" customWidth="1"/>
    <col min="21" max="21" width="9.42578125" customWidth="1"/>
    <col min="24" max="24" width="12.28515625" customWidth="1"/>
  </cols>
  <sheetData>
    <row r="1" spans="1:17" ht="21" customHeight="1" x14ac:dyDescent="0.25">
      <c r="A1" s="32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7" ht="21" customHeight="1" x14ac:dyDescent="0.3">
      <c r="A2" s="88" t="s">
        <v>84</v>
      </c>
      <c r="B2" s="1"/>
      <c r="C2" s="1"/>
      <c r="D2" s="1"/>
      <c r="E2" s="12"/>
      <c r="F2" s="12"/>
      <c r="G2" s="12"/>
      <c r="H2" s="12"/>
      <c r="I2" s="12"/>
      <c r="J2" s="12"/>
      <c r="K2" s="12"/>
    </row>
    <row r="3" spans="1:17" ht="21" customHeight="1" x14ac:dyDescent="0.3">
      <c r="A3" s="20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21" customHeight="1" x14ac:dyDescent="0.3">
      <c r="A4" s="20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21" customHeight="1" x14ac:dyDescent="0.35">
      <c r="A5" s="79" t="s">
        <v>80</v>
      </c>
      <c r="B5" s="1"/>
      <c r="C5" s="1"/>
      <c r="D5" s="1"/>
      <c r="E5" s="1"/>
      <c r="F5" s="1"/>
      <c r="G5" s="1"/>
      <c r="H5" s="59"/>
      <c r="I5" s="1"/>
      <c r="J5" s="77">
        <v>0.06</v>
      </c>
      <c r="K5" s="1"/>
      <c r="L5" s="80"/>
    </row>
    <row r="6" spans="1:17" ht="21" customHeight="1" x14ac:dyDescent="0.35">
      <c r="A6" s="79" t="s">
        <v>81</v>
      </c>
      <c r="B6" s="1"/>
      <c r="C6" s="1"/>
      <c r="D6" s="1"/>
      <c r="E6" s="1"/>
      <c r="F6" s="1"/>
      <c r="G6" s="1"/>
      <c r="H6" s="59"/>
      <c r="I6" s="1"/>
      <c r="J6" s="77">
        <v>0.01</v>
      </c>
      <c r="K6" s="1"/>
      <c r="L6" s="80"/>
    </row>
    <row r="7" spans="1:17" ht="21" customHeight="1" x14ac:dyDescent="0.35">
      <c r="A7" s="79" t="s">
        <v>79</v>
      </c>
      <c r="B7" s="1"/>
      <c r="C7" s="1"/>
      <c r="D7" s="1"/>
      <c r="E7" s="1"/>
      <c r="F7" s="1"/>
      <c r="G7" s="1"/>
      <c r="H7" s="59"/>
      <c r="I7" s="1"/>
      <c r="J7" s="78">
        <f>+(J5-J6)/(1+J6)</f>
        <v>4.95049504950495E-2</v>
      </c>
      <c r="K7" s="1"/>
      <c r="L7" s="80"/>
    </row>
    <row r="8" spans="1:17" ht="21" customHeight="1" x14ac:dyDescent="0.35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80"/>
    </row>
    <row r="9" spans="1:17" s="4" customFormat="1" ht="14.25" customHeight="1" x14ac:dyDescent="0.25">
      <c r="A9" s="23"/>
      <c r="B9" s="23"/>
      <c r="J9" s="60"/>
      <c r="K9" s="60"/>
    </row>
    <row r="10" spans="1:17" s="4" customFormat="1" ht="14.25" customHeight="1" x14ac:dyDescent="0.25">
      <c r="A10" s="120" t="s">
        <v>72</v>
      </c>
      <c r="B10" s="120"/>
      <c r="C10" s="120"/>
      <c r="D10" s="120"/>
      <c r="E10" s="120"/>
      <c r="J10" s="60"/>
      <c r="K10" s="60"/>
    </row>
    <row r="11" spans="1:17" s="4" customFormat="1" ht="14.25" customHeight="1" x14ac:dyDescent="0.25">
      <c r="A11" s="122" t="s">
        <v>33</v>
      </c>
      <c r="B11" s="122"/>
      <c r="C11" s="6" t="s">
        <v>30</v>
      </c>
      <c r="D11" s="16" t="s">
        <v>31</v>
      </c>
      <c r="E11" s="6" t="s">
        <v>32</v>
      </c>
      <c r="J11" s="60"/>
      <c r="K11" s="60"/>
    </row>
    <row r="12" spans="1:17" s="4" customFormat="1" ht="14.25" customHeight="1" x14ac:dyDescent="0.25">
      <c r="A12" s="118" t="s">
        <v>26</v>
      </c>
      <c r="B12" s="119"/>
      <c r="C12" s="15">
        <v>30572.75</v>
      </c>
      <c r="D12" s="69">
        <v>1</v>
      </c>
      <c r="E12" s="15">
        <f>+C12*D12</f>
        <v>30572.75</v>
      </c>
      <c r="J12" s="60"/>
      <c r="K12" s="60"/>
    </row>
    <row r="13" spans="1:17" s="4" customFormat="1" ht="14.25" customHeight="1" x14ac:dyDescent="0.25">
      <c r="A13" s="118" t="s">
        <v>27</v>
      </c>
      <c r="B13" s="119"/>
      <c r="C13" s="6">
        <v>26585</v>
      </c>
      <c r="D13" s="69">
        <v>1</v>
      </c>
      <c r="E13" s="6">
        <f>+C13*D13</f>
        <v>26585</v>
      </c>
      <c r="G13" s="35"/>
      <c r="H13" s="9"/>
      <c r="I13" s="9"/>
      <c r="J13" s="60"/>
      <c r="K13" s="60"/>
      <c r="L13" s="9"/>
      <c r="M13" s="9"/>
      <c r="N13" s="9"/>
      <c r="O13" s="9"/>
      <c r="Q13" s="24"/>
    </row>
    <row r="14" spans="1:17" s="4" customFormat="1" ht="14.25" customHeight="1" x14ac:dyDescent="0.25">
      <c r="A14" s="118" t="s">
        <v>28</v>
      </c>
      <c r="B14" s="119"/>
      <c r="C14" s="6">
        <v>180000</v>
      </c>
      <c r="D14" s="69">
        <v>1</v>
      </c>
      <c r="E14" s="6">
        <f>+C14*D14</f>
        <v>180000</v>
      </c>
      <c r="F14" s="9"/>
      <c r="G14" s="35"/>
      <c r="H14" s="9"/>
      <c r="I14" s="9"/>
      <c r="J14" s="9"/>
      <c r="K14" s="9"/>
      <c r="L14" s="9"/>
      <c r="M14" s="9"/>
      <c r="N14" s="27"/>
      <c r="O14" s="24"/>
      <c r="P14" s="9"/>
      <c r="Q14" s="24"/>
    </row>
    <row r="15" spans="1:17" s="4" customFormat="1" ht="14.25" customHeight="1" x14ac:dyDescent="0.25">
      <c r="A15" s="118" t="s">
        <v>23</v>
      </c>
      <c r="B15" s="119"/>
      <c r="C15" s="6">
        <v>1102400</v>
      </c>
      <c r="D15" s="69">
        <v>1</v>
      </c>
      <c r="E15" s="6">
        <f>+C15*D15</f>
        <v>1102400</v>
      </c>
      <c r="F15" s="9"/>
      <c r="G15" s="35"/>
      <c r="H15" s="9"/>
      <c r="I15" s="9"/>
      <c r="J15" s="9"/>
      <c r="K15" s="9"/>
      <c r="L15" s="9"/>
      <c r="M15" s="9"/>
      <c r="N15" s="27"/>
      <c r="O15" s="24"/>
      <c r="P15" s="9"/>
      <c r="Q15" s="24"/>
    </row>
    <row r="16" spans="1:17" s="4" customFormat="1" ht="14.25" customHeight="1" x14ac:dyDescent="0.25">
      <c r="A16" s="118" t="s">
        <v>34</v>
      </c>
      <c r="B16" s="119"/>
      <c r="C16" s="6">
        <f>770000/4</f>
        <v>192500</v>
      </c>
      <c r="D16" s="69">
        <v>1</v>
      </c>
      <c r="E16" s="6">
        <f>+C16*D16</f>
        <v>192500</v>
      </c>
      <c r="F16" s="9"/>
      <c r="G16" s="35"/>
      <c r="H16" s="9"/>
      <c r="I16" s="9"/>
      <c r="J16" s="9"/>
      <c r="K16" s="9"/>
      <c r="L16" s="9"/>
      <c r="M16" s="9"/>
      <c r="N16" s="27"/>
      <c r="O16" s="24"/>
      <c r="P16" s="9"/>
      <c r="Q16" s="24"/>
    </row>
    <row r="17" spans="1:22" s="4" customFormat="1" ht="14.25" customHeight="1" x14ac:dyDescent="0.25">
      <c r="A17" s="9"/>
      <c r="B17" s="9"/>
      <c r="C17" s="9"/>
      <c r="D17" s="9"/>
      <c r="E17" s="24"/>
      <c r="F17" s="9"/>
      <c r="G17" s="35"/>
      <c r="H17" s="9"/>
      <c r="I17" s="9"/>
      <c r="J17" s="9"/>
      <c r="K17" s="9"/>
      <c r="L17" s="9"/>
      <c r="M17" s="9"/>
      <c r="N17" s="27"/>
      <c r="O17" s="24"/>
      <c r="P17" s="9"/>
      <c r="Q17" s="24"/>
    </row>
    <row r="18" spans="1:22" x14ac:dyDescent="0.25">
      <c r="A18" s="43"/>
      <c r="B18" s="43"/>
      <c r="C18" s="43"/>
      <c r="D18" s="56" t="s">
        <v>9</v>
      </c>
      <c r="E18" s="43" t="s">
        <v>9</v>
      </c>
      <c r="F18" s="57" t="s">
        <v>57</v>
      </c>
      <c r="G18" s="46"/>
      <c r="H18" s="43" t="s">
        <v>73</v>
      </c>
      <c r="I18" s="57" t="s">
        <v>57</v>
      </c>
      <c r="J18" s="43"/>
      <c r="K18" s="55" t="s">
        <v>67</v>
      </c>
      <c r="L18" s="42" t="s">
        <v>71</v>
      </c>
      <c r="M18" s="43" t="s">
        <v>9</v>
      </c>
      <c r="N18" s="46" t="s">
        <v>10</v>
      </c>
      <c r="O18" s="54" t="s">
        <v>22</v>
      </c>
      <c r="P18" s="47" t="s">
        <v>54</v>
      </c>
      <c r="Q18" s="47" t="s">
        <v>54</v>
      </c>
      <c r="R18" s="56" t="s">
        <v>11</v>
      </c>
      <c r="S18" s="43" t="s">
        <v>12</v>
      </c>
      <c r="T18" s="57" t="s">
        <v>13</v>
      </c>
      <c r="U18" s="43"/>
      <c r="V18" s="56" t="s">
        <v>63</v>
      </c>
    </row>
    <row r="19" spans="1:22" x14ac:dyDescent="0.25">
      <c r="A19" s="39" t="s">
        <v>25</v>
      </c>
      <c r="B19" s="39" t="s">
        <v>1</v>
      </c>
      <c r="C19" s="39" t="s">
        <v>23</v>
      </c>
      <c r="D19" s="44" t="s">
        <v>69</v>
      </c>
      <c r="E19" s="39" t="s">
        <v>70</v>
      </c>
      <c r="F19" s="58" t="s">
        <v>64</v>
      </c>
      <c r="G19" s="39" t="s">
        <v>24</v>
      </c>
      <c r="H19" s="39" t="s">
        <v>74</v>
      </c>
      <c r="I19" s="58" t="s">
        <v>65</v>
      </c>
      <c r="J19" s="39" t="s">
        <v>66</v>
      </c>
      <c r="K19" s="45" t="s">
        <v>68</v>
      </c>
      <c r="L19" s="36" t="s">
        <v>68</v>
      </c>
      <c r="M19" s="39" t="s">
        <v>51</v>
      </c>
      <c r="N19" s="39" t="s">
        <v>51</v>
      </c>
      <c r="O19" s="39" t="s">
        <v>48</v>
      </c>
      <c r="P19" s="48" t="s">
        <v>75</v>
      </c>
      <c r="Q19" s="48" t="s">
        <v>76</v>
      </c>
      <c r="R19" s="39" t="s">
        <v>53</v>
      </c>
      <c r="S19" s="39" t="s">
        <v>53</v>
      </c>
      <c r="T19" s="58" t="s">
        <v>52</v>
      </c>
      <c r="U19" s="39" t="str">
        <f t="shared" ref="U19:U30" si="0">+B19</f>
        <v>anno</v>
      </c>
      <c r="V19" s="44" t="s">
        <v>29</v>
      </c>
    </row>
    <row r="20" spans="1:22" x14ac:dyDescent="0.25">
      <c r="A20" s="62">
        <v>0</v>
      </c>
      <c r="B20" s="38">
        <v>0</v>
      </c>
      <c r="C20" s="38">
        <f>+E15</f>
        <v>1102400</v>
      </c>
      <c r="D20" s="38"/>
      <c r="E20" s="38"/>
      <c r="F20" s="38">
        <f>+E20+D20+C20</f>
        <v>1102400</v>
      </c>
      <c r="G20" s="38"/>
      <c r="H20" s="64"/>
      <c r="I20" s="38">
        <f>+G20+H20</f>
        <v>0</v>
      </c>
      <c r="J20" s="38">
        <f t="shared" ref="J20:J30" si="1">+I20-F20</f>
        <v>-1102400</v>
      </c>
      <c r="K20" s="6">
        <f>+J7</f>
        <v>4.95049504950495E-2</v>
      </c>
      <c r="L20" s="37">
        <f>1/(1+K20)^B20</f>
        <v>1</v>
      </c>
      <c r="M20" s="52">
        <f t="shared" ref="M20:M30" si="2">+F20*L20</f>
        <v>1102400</v>
      </c>
      <c r="N20" s="52">
        <f t="shared" ref="N20:N30" si="3">+I20*L20</f>
        <v>0</v>
      </c>
      <c r="O20" s="74">
        <f>+N20-M20</f>
        <v>-1102400</v>
      </c>
      <c r="P20" s="52">
        <f t="shared" ref="P20:P30" si="4">IF(J20&lt;0,-J20,0)</f>
        <v>1102400</v>
      </c>
      <c r="Q20" s="52">
        <f t="shared" ref="Q20:Q30" si="5">IF(J20&gt;0,J20,0)</f>
        <v>0</v>
      </c>
      <c r="R20" s="52">
        <f>+P20*L20</f>
        <v>1102400</v>
      </c>
      <c r="S20" s="52">
        <f>+Q20*L20</f>
        <v>0</v>
      </c>
      <c r="T20" s="15">
        <f>+O20</f>
        <v>-1102400</v>
      </c>
      <c r="U20" s="38">
        <f t="shared" si="0"/>
        <v>0</v>
      </c>
      <c r="V20" s="6">
        <v>0</v>
      </c>
    </row>
    <row r="21" spans="1:22" x14ac:dyDescent="0.25">
      <c r="A21" s="63">
        <v>10</v>
      </c>
      <c r="B21" s="6">
        <f>+B20+1</f>
        <v>1</v>
      </c>
      <c r="C21" s="6"/>
      <c r="D21" s="6">
        <f t="shared" ref="D21:D30" si="6">+$E$14</f>
        <v>180000</v>
      </c>
      <c r="E21" s="6">
        <f t="shared" ref="E21:E30" si="7">+$E$13*A21</f>
        <v>265850</v>
      </c>
      <c r="F21" s="6">
        <f t="shared" ref="F21:F30" si="8">+E21+D21+C21</f>
        <v>445850</v>
      </c>
      <c r="G21" s="15">
        <f t="shared" ref="G21:G30" si="9">+$E$12*A21</f>
        <v>305727.5</v>
      </c>
      <c r="H21" s="64"/>
      <c r="I21" s="15">
        <f t="shared" ref="I21:I29" si="10">+G21+H21</f>
        <v>305727.5</v>
      </c>
      <c r="J21" s="15">
        <f t="shared" si="1"/>
        <v>-140122.5</v>
      </c>
      <c r="K21" s="6">
        <f>+K20</f>
        <v>4.95049504950495E-2</v>
      </c>
      <c r="L21" s="37">
        <f t="shared" ref="L21:L30" si="11">1/(1+K21)^B21</f>
        <v>0.95283018867924529</v>
      </c>
      <c r="M21" s="15">
        <f t="shared" si="2"/>
        <v>424819.33962264151</v>
      </c>
      <c r="N21" s="15">
        <f t="shared" si="3"/>
        <v>291306.39150943398</v>
      </c>
      <c r="O21" s="17">
        <f t="shared" ref="O21:O30" si="12">+N21-M21</f>
        <v>-133512.94811320753</v>
      </c>
      <c r="P21" s="15">
        <f t="shared" si="4"/>
        <v>140122.5</v>
      </c>
      <c r="Q21" s="15">
        <f t="shared" si="5"/>
        <v>0</v>
      </c>
      <c r="R21" s="15">
        <f t="shared" ref="R21:R28" si="13">+P21*L21</f>
        <v>133512.94811320756</v>
      </c>
      <c r="S21" s="15">
        <f t="shared" ref="S21:S28" si="14">+Q21*L21</f>
        <v>0</v>
      </c>
      <c r="T21" s="15">
        <f>+T20+O21</f>
        <v>-1235912.9481132075</v>
      </c>
      <c r="U21" s="6">
        <f t="shared" si="0"/>
        <v>1</v>
      </c>
      <c r="V21" s="6">
        <f t="shared" ref="V21:V30" si="15">IF(T20&lt;0,IF(T21&gt;1,U21,0),0)</f>
        <v>0</v>
      </c>
    </row>
    <row r="22" spans="1:22" x14ac:dyDescent="0.25">
      <c r="A22" s="63">
        <v>50</v>
      </c>
      <c r="B22" s="6">
        <f t="shared" ref="B22:B30" si="16">+B21+1</f>
        <v>2</v>
      </c>
      <c r="C22" s="6"/>
      <c r="D22" s="6">
        <f t="shared" si="6"/>
        <v>180000</v>
      </c>
      <c r="E22" s="6">
        <f t="shared" si="7"/>
        <v>1329250</v>
      </c>
      <c r="F22" s="6">
        <f t="shared" si="8"/>
        <v>1509250</v>
      </c>
      <c r="G22" s="15">
        <f t="shared" si="9"/>
        <v>1528637.5</v>
      </c>
      <c r="H22" s="64"/>
      <c r="I22" s="15">
        <f t="shared" si="10"/>
        <v>1528637.5</v>
      </c>
      <c r="J22" s="15">
        <f t="shared" si="1"/>
        <v>19387.5</v>
      </c>
      <c r="K22" s="6">
        <f t="shared" ref="K22:K30" si="17">+K21</f>
        <v>4.95049504950495E-2</v>
      </c>
      <c r="L22" s="37">
        <f t="shared" si="11"/>
        <v>0.90788536845852619</v>
      </c>
      <c r="M22" s="15">
        <f t="shared" si="2"/>
        <v>1370225.9923460307</v>
      </c>
      <c r="N22" s="15">
        <f t="shared" si="3"/>
        <v>1387827.6199270203</v>
      </c>
      <c r="O22" s="17">
        <f t="shared" si="12"/>
        <v>17601.627580989618</v>
      </c>
      <c r="P22" s="15">
        <f t="shared" si="4"/>
        <v>0</v>
      </c>
      <c r="Q22" s="15">
        <f t="shared" si="5"/>
        <v>19387.5</v>
      </c>
      <c r="R22" s="15">
        <f t="shared" si="13"/>
        <v>0</v>
      </c>
      <c r="S22" s="15">
        <v>0</v>
      </c>
      <c r="T22" s="15">
        <f t="shared" ref="T22:T30" si="18">+T21+O22</f>
        <v>-1218311.3205322179</v>
      </c>
      <c r="U22" s="6">
        <f t="shared" si="0"/>
        <v>2</v>
      </c>
      <c r="V22" s="6">
        <f t="shared" si="15"/>
        <v>0</v>
      </c>
    </row>
    <row r="23" spans="1:22" x14ac:dyDescent="0.25">
      <c r="A23" s="63">
        <v>100</v>
      </c>
      <c r="B23" s="6">
        <f t="shared" si="16"/>
        <v>3</v>
      </c>
      <c r="C23" s="6"/>
      <c r="D23" s="6">
        <f t="shared" si="6"/>
        <v>180000</v>
      </c>
      <c r="E23" s="6">
        <f t="shared" si="7"/>
        <v>2658500</v>
      </c>
      <c r="F23" s="6">
        <f t="shared" si="8"/>
        <v>2838500</v>
      </c>
      <c r="G23" s="6">
        <f t="shared" si="9"/>
        <v>3057275</v>
      </c>
      <c r="H23" s="64"/>
      <c r="I23" s="6">
        <f t="shared" si="10"/>
        <v>3057275</v>
      </c>
      <c r="J23" s="6">
        <f t="shared" si="1"/>
        <v>218775</v>
      </c>
      <c r="K23" s="6">
        <f t="shared" si="17"/>
        <v>4.95049504950495E-2</v>
      </c>
      <c r="L23" s="37">
        <f t="shared" si="11"/>
        <v>0.86506058692746357</v>
      </c>
      <c r="M23" s="15">
        <f t="shared" si="2"/>
        <v>2455474.4759936053</v>
      </c>
      <c r="N23" s="15">
        <f t="shared" si="3"/>
        <v>2644728.1058986611</v>
      </c>
      <c r="O23" s="17">
        <f t="shared" si="12"/>
        <v>189253.62990505574</v>
      </c>
      <c r="P23" s="15">
        <f t="shared" si="4"/>
        <v>0</v>
      </c>
      <c r="Q23" s="15">
        <f t="shared" si="5"/>
        <v>218775</v>
      </c>
      <c r="R23" s="15">
        <f t="shared" si="13"/>
        <v>0</v>
      </c>
      <c r="S23" s="15">
        <f t="shared" si="14"/>
        <v>189253.62990505583</v>
      </c>
      <c r="T23" s="15">
        <f t="shared" si="18"/>
        <v>-1029057.6906271621</v>
      </c>
      <c r="U23" s="6">
        <f t="shared" si="0"/>
        <v>3</v>
      </c>
      <c r="V23" s="6">
        <f t="shared" si="15"/>
        <v>0</v>
      </c>
    </row>
    <row r="24" spans="1:22" x14ac:dyDescent="0.25">
      <c r="A24" s="63">
        <v>100</v>
      </c>
      <c r="B24" s="6">
        <f t="shared" si="16"/>
        <v>4</v>
      </c>
      <c r="C24" s="6"/>
      <c r="D24" s="6">
        <f t="shared" si="6"/>
        <v>180000</v>
      </c>
      <c r="E24" s="6">
        <f t="shared" si="7"/>
        <v>2658500</v>
      </c>
      <c r="F24" s="6">
        <f t="shared" si="8"/>
        <v>2838500</v>
      </c>
      <c r="G24" s="6">
        <f t="shared" si="9"/>
        <v>3057275</v>
      </c>
      <c r="H24" s="64"/>
      <c r="I24" s="6">
        <f t="shared" si="10"/>
        <v>3057275</v>
      </c>
      <c r="J24" s="6">
        <f t="shared" si="1"/>
        <v>218775</v>
      </c>
      <c r="K24" s="6">
        <f t="shared" si="17"/>
        <v>4.95049504950495E-2</v>
      </c>
      <c r="L24" s="37">
        <f t="shared" si="11"/>
        <v>0.82425584226107385</v>
      </c>
      <c r="M24" s="15">
        <f t="shared" si="2"/>
        <v>2339650.2082580579</v>
      </c>
      <c r="N24" s="15">
        <f t="shared" si="3"/>
        <v>2519976.7801487246</v>
      </c>
      <c r="O24" s="17">
        <f t="shared" si="12"/>
        <v>180326.57189066662</v>
      </c>
      <c r="P24" s="15">
        <f t="shared" si="4"/>
        <v>0</v>
      </c>
      <c r="Q24" s="15">
        <f t="shared" si="5"/>
        <v>218775</v>
      </c>
      <c r="R24" s="15">
        <f t="shared" si="13"/>
        <v>0</v>
      </c>
      <c r="S24" s="15">
        <f t="shared" si="14"/>
        <v>180326.57189066644</v>
      </c>
      <c r="T24" s="15">
        <f t="shared" si="18"/>
        <v>-848731.1187364955</v>
      </c>
      <c r="U24" s="6">
        <f t="shared" si="0"/>
        <v>4</v>
      </c>
      <c r="V24" s="6">
        <f t="shared" si="15"/>
        <v>0</v>
      </c>
    </row>
    <row r="25" spans="1:22" x14ac:dyDescent="0.25">
      <c r="A25" s="63">
        <v>100</v>
      </c>
      <c r="B25" s="6">
        <f t="shared" si="16"/>
        <v>5</v>
      </c>
      <c r="C25" s="6"/>
      <c r="D25" s="6">
        <f t="shared" si="6"/>
        <v>180000</v>
      </c>
      <c r="E25" s="6">
        <f t="shared" si="7"/>
        <v>2658500</v>
      </c>
      <c r="F25" s="6">
        <f t="shared" si="8"/>
        <v>2838500</v>
      </c>
      <c r="G25" s="6">
        <f t="shared" si="9"/>
        <v>3057275</v>
      </c>
      <c r="H25" s="64"/>
      <c r="I25" s="6">
        <f t="shared" si="10"/>
        <v>3057275</v>
      </c>
      <c r="J25" s="6">
        <f t="shared" si="1"/>
        <v>218775</v>
      </c>
      <c r="K25" s="6">
        <f t="shared" si="17"/>
        <v>4.95049504950495E-2</v>
      </c>
      <c r="L25" s="37">
        <f t="shared" si="11"/>
        <v>0.78537584970158925</v>
      </c>
      <c r="M25" s="15">
        <f t="shared" si="2"/>
        <v>2229289.3493779609</v>
      </c>
      <c r="N25" s="15">
        <f t="shared" si="3"/>
        <v>2401109.9508964261</v>
      </c>
      <c r="O25" s="17">
        <f t="shared" si="12"/>
        <v>171820.60151846521</v>
      </c>
      <c r="P25" s="15">
        <f t="shared" si="4"/>
        <v>0</v>
      </c>
      <c r="Q25" s="15">
        <f t="shared" si="5"/>
        <v>218775</v>
      </c>
      <c r="R25" s="15">
        <f t="shared" si="13"/>
        <v>0</v>
      </c>
      <c r="S25" s="15">
        <f t="shared" si="14"/>
        <v>171820.60151846518</v>
      </c>
      <c r="T25" s="15">
        <f t="shared" si="18"/>
        <v>-676910.51721803029</v>
      </c>
      <c r="U25" s="6">
        <f t="shared" si="0"/>
        <v>5</v>
      </c>
      <c r="V25" s="6">
        <f t="shared" si="15"/>
        <v>0</v>
      </c>
    </row>
    <row r="26" spans="1:22" x14ac:dyDescent="0.25">
      <c r="A26" s="63">
        <v>100</v>
      </c>
      <c r="B26" s="6">
        <f t="shared" si="16"/>
        <v>6</v>
      </c>
      <c r="C26" s="6"/>
      <c r="D26" s="6">
        <f t="shared" si="6"/>
        <v>180000</v>
      </c>
      <c r="E26" s="6">
        <f t="shared" si="7"/>
        <v>2658500</v>
      </c>
      <c r="F26" s="6">
        <f t="shared" si="8"/>
        <v>2838500</v>
      </c>
      <c r="G26" s="6">
        <f t="shared" si="9"/>
        <v>3057275</v>
      </c>
      <c r="H26" s="64"/>
      <c r="I26" s="6">
        <f t="shared" si="10"/>
        <v>3057275</v>
      </c>
      <c r="J26" s="6">
        <f t="shared" si="1"/>
        <v>218775</v>
      </c>
      <c r="K26" s="6">
        <f t="shared" si="17"/>
        <v>4.95049504950495E-2</v>
      </c>
      <c r="L26" s="37">
        <f t="shared" si="11"/>
        <v>0.74832981905528795</v>
      </c>
      <c r="M26" s="15">
        <f t="shared" si="2"/>
        <v>2124134.1913884347</v>
      </c>
      <c r="N26" s="15">
        <f t="shared" si="3"/>
        <v>2287850.0475522554</v>
      </c>
      <c r="O26" s="17">
        <f t="shared" si="12"/>
        <v>163715.85616382072</v>
      </c>
      <c r="P26" s="15">
        <f t="shared" si="4"/>
        <v>0</v>
      </c>
      <c r="Q26" s="15">
        <f t="shared" si="5"/>
        <v>218775</v>
      </c>
      <c r="R26" s="15">
        <f t="shared" si="13"/>
        <v>0</v>
      </c>
      <c r="S26" s="15">
        <f t="shared" si="14"/>
        <v>163715.85616382063</v>
      </c>
      <c r="T26" s="15">
        <f t="shared" si="18"/>
        <v>-513194.66105420957</v>
      </c>
      <c r="U26" s="6">
        <f t="shared" si="0"/>
        <v>6</v>
      </c>
      <c r="V26" s="6">
        <f t="shared" si="15"/>
        <v>0</v>
      </c>
    </row>
    <row r="27" spans="1:22" x14ac:dyDescent="0.25">
      <c r="A27" s="63">
        <v>100</v>
      </c>
      <c r="B27" s="6">
        <f t="shared" si="16"/>
        <v>7</v>
      </c>
      <c r="C27" s="6"/>
      <c r="D27" s="6">
        <f t="shared" si="6"/>
        <v>180000</v>
      </c>
      <c r="E27" s="6">
        <f t="shared" si="7"/>
        <v>2658500</v>
      </c>
      <c r="F27" s="6">
        <f t="shared" si="8"/>
        <v>2838500</v>
      </c>
      <c r="G27" s="6">
        <f t="shared" si="9"/>
        <v>3057275</v>
      </c>
      <c r="H27" s="64"/>
      <c r="I27" s="6">
        <f t="shared" si="10"/>
        <v>3057275</v>
      </c>
      <c r="J27" s="6">
        <f t="shared" si="1"/>
        <v>218775</v>
      </c>
      <c r="K27" s="6">
        <f t="shared" si="17"/>
        <v>4.95049504950495E-2</v>
      </c>
      <c r="L27" s="37">
        <f t="shared" si="11"/>
        <v>0.71303124268475548</v>
      </c>
      <c r="M27" s="15">
        <f t="shared" si="2"/>
        <v>2023939.1823606784</v>
      </c>
      <c r="N27" s="15">
        <f t="shared" si="3"/>
        <v>2179932.5924790357</v>
      </c>
      <c r="O27" s="17">
        <f t="shared" si="12"/>
        <v>155993.41011835728</v>
      </c>
      <c r="P27" s="15">
        <f t="shared" si="4"/>
        <v>0</v>
      </c>
      <c r="Q27" s="15">
        <f t="shared" si="5"/>
        <v>218775</v>
      </c>
      <c r="R27" s="15">
        <f t="shared" si="13"/>
        <v>0</v>
      </c>
      <c r="S27" s="15">
        <f t="shared" si="14"/>
        <v>155993.41011835739</v>
      </c>
      <c r="T27" s="15">
        <f t="shared" si="18"/>
        <v>-357201.25093585229</v>
      </c>
      <c r="U27" s="6">
        <f t="shared" si="0"/>
        <v>7</v>
      </c>
      <c r="V27" s="6">
        <f t="shared" si="15"/>
        <v>0</v>
      </c>
    </row>
    <row r="28" spans="1:22" x14ac:dyDescent="0.25">
      <c r="A28" s="63">
        <v>100</v>
      </c>
      <c r="B28" s="6">
        <f t="shared" si="16"/>
        <v>8</v>
      </c>
      <c r="C28" s="6"/>
      <c r="D28" s="6">
        <f t="shared" si="6"/>
        <v>180000</v>
      </c>
      <c r="E28" s="6">
        <f t="shared" si="7"/>
        <v>2658500</v>
      </c>
      <c r="F28" s="6">
        <f t="shared" si="8"/>
        <v>2838500</v>
      </c>
      <c r="G28" s="6">
        <f t="shared" si="9"/>
        <v>3057275</v>
      </c>
      <c r="H28" s="64"/>
      <c r="I28" s="6">
        <f t="shared" si="10"/>
        <v>3057275</v>
      </c>
      <c r="J28" s="6">
        <f t="shared" si="1"/>
        <v>218775</v>
      </c>
      <c r="K28" s="6">
        <f t="shared" si="17"/>
        <v>4.95049504950495E-2</v>
      </c>
      <c r="L28" s="37">
        <f t="shared" si="11"/>
        <v>0.67939769350151236</v>
      </c>
      <c r="M28" s="15">
        <f t="shared" si="2"/>
        <v>1928470.3530040428</v>
      </c>
      <c r="N28" s="15">
        <f t="shared" si="3"/>
        <v>2077105.5833998362</v>
      </c>
      <c r="O28" s="17">
        <f t="shared" si="12"/>
        <v>148635.23039579345</v>
      </c>
      <c r="P28" s="15">
        <f t="shared" si="4"/>
        <v>0</v>
      </c>
      <c r="Q28" s="15">
        <f t="shared" si="5"/>
        <v>218775</v>
      </c>
      <c r="R28" s="15">
        <f t="shared" si="13"/>
        <v>0</v>
      </c>
      <c r="S28" s="15">
        <f t="shared" si="14"/>
        <v>148635.23039579336</v>
      </c>
      <c r="T28" s="15">
        <f t="shared" si="18"/>
        <v>-208566.02054005885</v>
      </c>
      <c r="U28" s="6">
        <f t="shared" si="0"/>
        <v>8</v>
      </c>
      <c r="V28" s="6">
        <f t="shared" si="15"/>
        <v>0</v>
      </c>
    </row>
    <row r="29" spans="1:22" x14ac:dyDescent="0.25">
      <c r="A29" s="63">
        <v>100</v>
      </c>
      <c r="B29" s="6">
        <f t="shared" si="16"/>
        <v>9</v>
      </c>
      <c r="C29" s="6"/>
      <c r="D29" s="6">
        <f t="shared" si="6"/>
        <v>180000</v>
      </c>
      <c r="E29" s="6">
        <f t="shared" si="7"/>
        <v>2658500</v>
      </c>
      <c r="F29" s="6">
        <f t="shared" si="8"/>
        <v>2838500</v>
      </c>
      <c r="G29" s="6">
        <f t="shared" si="9"/>
        <v>3057275</v>
      </c>
      <c r="H29" s="64"/>
      <c r="I29" s="6">
        <f t="shared" si="10"/>
        <v>3057275</v>
      </c>
      <c r="J29" s="6">
        <f t="shared" si="1"/>
        <v>218775</v>
      </c>
      <c r="K29" s="6">
        <f t="shared" si="17"/>
        <v>4.95049504950495E-2</v>
      </c>
      <c r="L29" s="37">
        <f t="shared" si="11"/>
        <v>0.64735063248728997</v>
      </c>
      <c r="M29" s="15">
        <f t="shared" si="2"/>
        <v>1837504.7703151726</v>
      </c>
      <c r="N29" s="15">
        <f t="shared" si="3"/>
        <v>1979128.9049375795</v>
      </c>
      <c r="O29" s="17">
        <f t="shared" si="12"/>
        <v>141624.13462240691</v>
      </c>
      <c r="P29" s="15">
        <f t="shared" si="4"/>
        <v>0</v>
      </c>
      <c r="Q29" s="15">
        <f t="shared" si="5"/>
        <v>218775</v>
      </c>
      <c r="R29" s="15">
        <f t="shared" ref="R29:R30" si="19">+P29*L29</f>
        <v>0</v>
      </c>
      <c r="S29" s="15">
        <f t="shared" ref="S29:S30" si="20">+Q29*L29</f>
        <v>141624.13462240685</v>
      </c>
      <c r="T29" s="15">
        <f t="shared" si="18"/>
        <v>-66941.885917651933</v>
      </c>
      <c r="U29" s="6">
        <f t="shared" si="0"/>
        <v>9</v>
      </c>
      <c r="V29" s="6">
        <f t="shared" si="15"/>
        <v>0</v>
      </c>
    </row>
    <row r="30" spans="1:22" x14ac:dyDescent="0.25">
      <c r="A30" s="63">
        <v>100</v>
      </c>
      <c r="B30" s="6">
        <f t="shared" si="16"/>
        <v>10</v>
      </c>
      <c r="C30" s="6"/>
      <c r="D30" s="6">
        <f t="shared" si="6"/>
        <v>180000</v>
      </c>
      <c r="E30" s="6">
        <f t="shared" si="7"/>
        <v>2658500</v>
      </c>
      <c r="F30" s="6">
        <f t="shared" si="8"/>
        <v>2838500</v>
      </c>
      <c r="G30" s="6">
        <f t="shared" si="9"/>
        <v>3057275</v>
      </c>
      <c r="H30" s="65">
        <f>+E16</f>
        <v>192500</v>
      </c>
      <c r="I30" s="6">
        <f>+G30+C16</f>
        <v>3249775</v>
      </c>
      <c r="J30" s="6">
        <f t="shared" si="1"/>
        <v>411275</v>
      </c>
      <c r="K30" s="6">
        <f t="shared" si="17"/>
        <v>4.95049504950495E-2</v>
      </c>
      <c r="L30" s="37">
        <f t="shared" si="11"/>
        <v>0.6168152252944934</v>
      </c>
      <c r="M30" s="15">
        <f t="shared" si="2"/>
        <v>1750830.0169984195</v>
      </c>
      <c r="N30" s="15">
        <f t="shared" si="3"/>
        <v>2004510.6987814123</v>
      </c>
      <c r="O30" s="17">
        <f t="shared" si="12"/>
        <v>253680.68178299279</v>
      </c>
      <c r="P30" s="15">
        <f t="shared" si="4"/>
        <v>0</v>
      </c>
      <c r="Q30" s="15">
        <f t="shared" si="5"/>
        <v>411275</v>
      </c>
      <c r="R30" s="15">
        <f t="shared" si="19"/>
        <v>0</v>
      </c>
      <c r="S30" s="15">
        <f t="shared" si="20"/>
        <v>253680.68178299276</v>
      </c>
      <c r="T30" s="15">
        <f t="shared" si="18"/>
        <v>186738.79586534086</v>
      </c>
      <c r="U30" s="6">
        <f t="shared" si="0"/>
        <v>10</v>
      </c>
      <c r="V30" s="6">
        <f t="shared" si="15"/>
        <v>10</v>
      </c>
    </row>
    <row r="31" spans="1:22" ht="9" customHeight="1" x14ac:dyDescent="0.25">
      <c r="A31" s="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6"/>
      <c r="V31" s="49"/>
    </row>
    <row r="32" spans="1:22" x14ac:dyDescent="0.25">
      <c r="A32" s="61" t="s">
        <v>57</v>
      </c>
      <c r="B32" s="40"/>
      <c r="C32" s="40"/>
      <c r="D32" s="40"/>
      <c r="E32" s="40"/>
      <c r="F32" s="17">
        <f>SUM(F20:F30)</f>
        <v>25765500</v>
      </c>
      <c r="G32" s="17"/>
      <c r="H32" s="17"/>
      <c r="I32" s="17">
        <f t="shared" ref="I32:J32" si="21">SUM(I20:I30)</f>
        <v>26485065</v>
      </c>
      <c r="J32" s="17">
        <f t="shared" si="21"/>
        <v>719565</v>
      </c>
      <c r="K32" s="6"/>
      <c r="L32" s="17"/>
      <c r="M32" s="17">
        <f>SUM(M20:M30)</f>
        <v>19586737.879665047</v>
      </c>
      <c r="N32" s="17">
        <f>SUM(N20:N30)</f>
        <v>19773476.675530385</v>
      </c>
      <c r="O32" s="17">
        <f>+N32-M32</f>
        <v>186738.7958653383</v>
      </c>
      <c r="P32" s="17"/>
      <c r="Q32" s="17"/>
      <c r="R32" s="17">
        <f>SUM(R20:R30)</f>
        <v>1235912.9481132075</v>
      </c>
      <c r="S32" s="17">
        <f>SUM(S20:S30)</f>
        <v>1405050.1163975585</v>
      </c>
      <c r="T32" s="67"/>
      <c r="U32" s="29"/>
      <c r="V32" s="76">
        <f>MAX(V20:V30)</f>
        <v>10</v>
      </c>
    </row>
    <row r="33" spans="1:24" x14ac:dyDescent="0.25">
      <c r="A33" s="3"/>
      <c r="B33" s="4"/>
      <c r="C33" s="4"/>
      <c r="D33" s="4"/>
      <c r="E33" s="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4"/>
    </row>
    <row r="34" spans="1:24" ht="21" x14ac:dyDescent="0.35">
      <c r="A34" s="121" t="s">
        <v>13</v>
      </c>
      <c r="B34" s="121"/>
      <c r="C34" s="89">
        <f>+N32-M32</f>
        <v>186738.7958653383</v>
      </c>
      <c r="D34" s="18" t="s">
        <v>41</v>
      </c>
      <c r="F34" s="68"/>
      <c r="I34" s="29"/>
      <c r="J34" s="11"/>
      <c r="K34" s="5"/>
      <c r="L34" s="9"/>
      <c r="M34" s="10"/>
      <c r="N34" s="70"/>
      <c r="O34" s="10"/>
      <c r="P34" s="10"/>
      <c r="Q34" s="10"/>
      <c r="R34" s="10"/>
      <c r="S34" s="10"/>
      <c r="T34" s="10"/>
      <c r="U34" s="10"/>
      <c r="V34" s="10"/>
      <c r="W34" s="10"/>
      <c r="X34" s="4"/>
    </row>
    <row r="35" spans="1:24" ht="21" x14ac:dyDescent="0.35">
      <c r="A35" s="121" t="s">
        <v>16</v>
      </c>
      <c r="B35" s="121"/>
      <c r="C35" s="31">
        <f>+N32/M32</f>
        <v>1.0095339406190353</v>
      </c>
      <c r="D35" s="18" t="s">
        <v>77</v>
      </c>
      <c r="I35" s="29"/>
      <c r="J35" s="71"/>
      <c r="K35" s="72"/>
      <c r="L35" s="73"/>
      <c r="M35" s="10"/>
      <c r="N35" s="75"/>
      <c r="O35" s="10"/>
      <c r="P35" s="10"/>
      <c r="Q35" s="10"/>
      <c r="R35" s="10"/>
      <c r="S35" s="10"/>
      <c r="T35" s="10"/>
      <c r="U35" s="10"/>
      <c r="V35" s="10"/>
      <c r="W35" s="10"/>
      <c r="X35" s="4"/>
    </row>
    <row r="36" spans="1:24" ht="21" x14ac:dyDescent="0.35">
      <c r="A36" s="121" t="s">
        <v>17</v>
      </c>
      <c r="B36" s="121"/>
      <c r="C36" s="31">
        <f>+S32/R32</f>
        <v>1.1368520076940389</v>
      </c>
      <c r="D36" s="18" t="s">
        <v>78</v>
      </c>
      <c r="J36" s="4"/>
      <c r="K36" s="5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</row>
    <row r="37" spans="1:24" ht="21" x14ac:dyDescent="0.35">
      <c r="A37" s="121" t="s">
        <v>20</v>
      </c>
      <c r="B37" s="121"/>
      <c r="C37" s="90">
        <f>IRR(J20:J30)</f>
        <v>7.3082526353502431E-2</v>
      </c>
      <c r="D37" s="18" t="s">
        <v>82</v>
      </c>
      <c r="J37" s="4"/>
      <c r="K37" s="5"/>
      <c r="L37" s="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</row>
    <row r="38" spans="1:24" ht="21" x14ac:dyDescent="0.35">
      <c r="A38" s="121" t="s">
        <v>21</v>
      </c>
      <c r="B38" s="121"/>
      <c r="C38" s="91">
        <f>IF(V32=0,"mai",V32)</f>
        <v>10</v>
      </c>
      <c r="D38" s="18" t="s">
        <v>44</v>
      </c>
      <c r="J38" s="4"/>
      <c r="K38" s="5"/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</row>
    <row r="39" spans="1:24" ht="21" x14ac:dyDescent="0.35">
      <c r="A39" s="18"/>
      <c r="B39" s="18"/>
      <c r="C39" s="18"/>
      <c r="D39" s="18"/>
      <c r="F39" s="4"/>
      <c r="J39" s="4"/>
      <c r="K39" s="5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</row>
    <row r="40" spans="1:24" ht="21" x14ac:dyDescent="0.35">
      <c r="A40" s="117" t="s">
        <v>13</v>
      </c>
      <c r="B40" s="117"/>
      <c r="C40" s="92">
        <f>NPV(J7,J20:J30)*(1+J7)</f>
        <v>186738.79586534004</v>
      </c>
      <c r="D40" s="18" t="s">
        <v>83</v>
      </c>
      <c r="F40" s="4"/>
      <c r="J40" s="4"/>
      <c r="K40" s="5"/>
      <c r="L40" s="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</row>
    <row r="41" spans="1:24" x14ac:dyDescent="0.25">
      <c r="F41" s="4"/>
      <c r="G41" s="4"/>
      <c r="H41" s="4"/>
      <c r="I41" s="4"/>
      <c r="J41" s="4"/>
      <c r="K41" s="5"/>
      <c r="L41" s="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</row>
    <row r="42" spans="1:24" x14ac:dyDescent="0.25">
      <c r="F42" s="4"/>
      <c r="G42" s="4"/>
      <c r="H42" s="4"/>
      <c r="I42" s="4"/>
      <c r="J42" s="4"/>
      <c r="K42" s="5"/>
      <c r="L42" s="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</row>
    <row r="43" spans="1:24" x14ac:dyDescent="0.25">
      <c r="F43" s="4"/>
      <c r="G43" s="4"/>
      <c r="H43" s="4"/>
      <c r="I43" s="4"/>
      <c r="J43" s="4"/>
      <c r="K43" s="5"/>
      <c r="L43" s="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</row>
    <row r="44" spans="1:24" x14ac:dyDescent="0.25">
      <c r="F44" s="4"/>
      <c r="G44" s="4"/>
      <c r="H44" s="4"/>
      <c r="I44" s="4"/>
      <c r="J44" s="4"/>
      <c r="K44" s="5"/>
      <c r="L44" s="9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</row>
    <row r="45" spans="1:24" x14ac:dyDescent="0.25">
      <c r="F45" s="4"/>
      <c r="G45" s="4"/>
      <c r="H45" s="4"/>
      <c r="I45" s="4"/>
      <c r="J45" s="4"/>
      <c r="K45" s="5"/>
      <c r="L45" s="9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4"/>
    </row>
    <row r="46" spans="1:24" x14ac:dyDescent="0.25">
      <c r="F46" s="4"/>
      <c r="G46" s="4"/>
      <c r="H46" s="4"/>
      <c r="I46" s="4"/>
      <c r="J46" s="4"/>
      <c r="K46" s="5"/>
      <c r="L46" s="9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4"/>
    </row>
    <row r="47" spans="1:24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5"/>
      <c r="L47" s="9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4"/>
    </row>
    <row r="48" spans="1:24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5"/>
      <c r="L48" s="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4"/>
    </row>
    <row r="49" spans="1:25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  <c r="K49" s="5"/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4"/>
    </row>
    <row r="50" spans="1:25" x14ac:dyDescent="0.25">
      <c r="A50" s="3"/>
      <c r="B50" s="4"/>
      <c r="C50" s="4"/>
      <c r="D50" s="4"/>
      <c r="E50" s="4"/>
      <c r="F50" s="4"/>
      <c r="G50" s="4"/>
      <c r="H50" s="4"/>
      <c r="I50" s="4"/>
      <c r="J50" s="4"/>
      <c r="K50" s="5"/>
      <c r="L50" s="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4"/>
    </row>
    <row r="51" spans="1:25" x14ac:dyDescent="0.25">
      <c r="A51" s="3"/>
      <c r="B51" s="4"/>
      <c r="C51" s="4"/>
      <c r="D51" s="4"/>
      <c r="E51" s="4"/>
      <c r="F51" s="4"/>
      <c r="G51" s="4"/>
      <c r="H51" s="4"/>
      <c r="I51" s="4"/>
      <c r="J51" s="4"/>
      <c r="K51" s="5"/>
      <c r="L51" s="9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4"/>
    </row>
    <row r="52" spans="1:25" x14ac:dyDescent="0.25">
      <c r="F52" s="3"/>
      <c r="G52" s="3"/>
      <c r="H52" s="3"/>
      <c r="I52" s="4"/>
      <c r="J52" s="4"/>
      <c r="K52" s="4"/>
      <c r="L52" s="4"/>
      <c r="M52" s="5"/>
      <c r="N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23" customFormat="1" x14ac:dyDescent="0.25">
      <c r="A53" s="24"/>
      <c r="B53" s="24"/>
      <c r="C53" s="24"/>
      <c r="D53" s="24"/>
      <c r="E53" s="24"/>
      <c r="F53" s="81"/>
      <c r="G53" s="81"/>
      <c r="H53" s="81"/>
    </row>
    <row r="54" spans="1:25" s="23" customFormat="1" x14ac:dyDescent="0.25">
      <c r="A54" s="24"/>
      <c r="B54" s="24"/>
      <c r="C54" s="24"/>
      <c r="D54" s="24"/>
      <c r="E54" s="24"/>
      <c r="F54" s="81"/>
      <c r="G54" s="81"/>
      <c r="H54" s="81"/>
    </row>
    <row r="55" spans="1:25" s="23" customFormat="1" x14ac:dyDescent="0.25">
      <c r="A55" s="24"/>
      <c r="B55" s="81"/>
      <c r="C55" s="81"/>
      <c r="D55" s="81"/>
      <c r="E55" s="81"/>
      <c r="F55" s="24"/>
      <c r="G55" s="24"/>
      <c r="H55" s="24"/>
    </row>
    <row r="56" spans="1:25" s="23" customFormat="1" x14ac:dyDescent="0.25">
      <c r="A56" s="24"/>
      <c r="B56" s="81"/>
      <c r="C56" s="81"/>
      <c r="D56" s="81"/>
      <c r="E56" s="81"/>
      <c r="F56" s="24"/>
      <c r="G56" s="24"/>
      <c r="H56" s="24"/>
    </row>
    <row r="57" spans="1:25" s="23" customFormat="1" ht="15.75" x14ac:dyDescent="0.25">
      <c r="A57" s="82"/>
      <c r="B57" s="81"/>
      <c r="C57" s="81"/>
      <c r="D57" s="81"/>
      <c r="E57" s="81"/>
      <c r="F57" s="81"/>
      <c r="H57" s="81"/>
      <c r="L57" s="83"/>
    </row>
    <row r="58" spans="1:25" s="23" customFormat="1" x14ac:dyDescent="0.25">
      <c r="A58" s="82"/>
      <c r="B58" s="25"/>
      <c r="C58" s="25"/>
      <c r="D58" s="25"/>
      <c r="E58" s="25"/>
      <c r="F58" s="24"/>
      <c r="G58" s="24"/>
      <c r="H58" s="24"/>
    </row>
    <row r="59" spans="1:25" s="23" customFormat="1" x14ac:dyDescent="0.25">
      <c r="A59" s="82"/>
      <c r="F59" s="25"/>
      <c r="G59" s="25"/>
      <c r="H59" s="25"/>
    </row>
    <row r="60" spans="1:25" s="23" customFormat="1" x14ac:dyDescent="0.25">
      <c r="A60" s="82"/>
      <c r="B60" s="84"/>
      <c r="C60" s="84"/>
      <c r="D60" s="84"/>
      <c r="E60" s="84"/>
    </row>
    <row r="61" spans="1:25" s="23" customFormat="1" x14ac:dyDescent="0.25">
      <c r="A61" s="82"/>
      <c r="B61" s="84"/>
      <c r="C61" s="84"/>
      <c r="D61" s="84"/>
      <c r="E61" s="84"/>
    </row>
    <row r="62" spans="1:25" s="23" customFormat="1" x14ac:dyDescent="0.25">
      <c r="A62" s="82"/>
      <c r="B62" s="85"/>
      <c r="C62" s="85"/>
      <c r="D62" s="85"/>
      <c r="E62" s="85"/>
      <c r="F62" s="86"/>
      <c r="G62" s="86"/>
      <c r="H62" s="86"/>
    </row>
    <row r="63" spans="1:25" s="23" customFormat="1" x14ac:dyDescent="0.25">
      <c r="A63" s="82"/>
      <c r="B63" s="87"/>
      <c r="C63" s="87"/>
      <c r="D63" s="87"/>
      <c r="E63" s="87"/>
    </row>
    <row r="64" spans="1:25" s="23" customFormat="1" x14ac:dyDescent="0.25"/>
  </sheetData>
  <mergeCells count="13">
    <mergeCell ref="A40:B40"/>
    <mergeCell ref="A16:B16"/>
    <mergeCell ref="A10:E10"/>
    <mergeCell ref="A34:B34"/>
    <mergeCell ref="A35:B35"/>
    <mergeCell ref="A36:B36"/>
    <mergeCell ref="A37:B37"/>
    <mergeCell ref="A38:B38"/>
    <mergeCell ref="A15:B15"/>
    <mergeCell ref="A12:B12"/>
    <mergeCell ref="A13:B13"/>
    <mergeCell ref="A14:B14"/>
    <mergeCell ref="A11:B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prima esercitazione</vt:lpstr>
      <vt:lpstr>seconda esercitazione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UNIFE</dc:creator>
  <cp:lastModifiedBy>UNIFE</cp:lastModifiedBy>
  <dcterms:created xsi:type="dcterms:W3CDTF">2018-10-06T15:46:41Z</dcterms:created>
  <dcterms:modified xsi:type="dcterms:W3CDTF">2019-11-13T11:52:14Z</dcterms:modified>
</cp:coreProperties>
</file>